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C:\Users\msimpson\Desktop\"/>
    </mc:Choice>
  </mc:AlternateContent>
  <xr:revisionPtr revIDLastSave="0" documentId="13_ncr:1_{1CE6C583-AE12-425A-A385-97A17CEACBF3}"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V6" i="5"/>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R6" i="5" l="1"/>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S18"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X5"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T18" i="5"/>
  <c r="B32" i="6" l="1"/>
  <c r="C11" i="6"/>
  <c r="C12"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24" i="6" l="1"/>
  <c r="H40" i="6"/>
  <c r="D40" i="6" s="1"/>
  <c r="H46" i="6"/>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D24" i="6"/>
  <c r="C24" i="6"/>
  <c r="X100" i="5"/>
  <c r="D27" i="6"/>
  <c r="C27" i="6"/>
  <c r="C36" i="6"/>
  <c r="C42"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40"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9" i="5"/>
  <c r="T7" i="5"/>
  <c r="T16" i="5"/>
  <c r="T13" i="5"/>
  <c r="T10" i="5"/>
  <c r="T11" i="5"/>
  <c r="T12" i="5"/>
  <c r="T15" i="5"/>
  <c r="T8" i="5"/>
  <c r="T17" i="5"/>
  <c r="T14" i="5"/>
  <c r="X13" i="5" l="1"/>
  <c r="X10" i="5"/>
  <c r="D65" i="6"/>
  <c r="X9" i="5"/>
  <c r="X12" i="5"/>
  <c r="X14" i="5"/>
  <c r="X17" i="5"/>
  <c r="D66" i="6"/>
  <c r="C67" i="6"/>
  <c r="X11" i="5"/>
  <c r="X15" i="5"/>
  <c r="X8" i="5"/>
  <c r="X7" i="5"/>
  <c r="G69" i="6"/>
  <c r="H69" i="6" s="1"/>
  <c r="H70" i="6" s="1"/>
  <c r="D2" i="6" s="1"/>
  <c r="X16" i="5"/>
  <c r="S16" i="5"/>
  <c r="D55" i="6"/>
  <c r="C55" i="6"/>
  <c r="D56" i="6"/>
  <c r="C56" i="6"/>
  <c r="S13" i="5"/>
  <c r="S14" i="5"/>
  <c r="S15" i="5"/>
  <c r="S12" i="5"/>
  <c r="S9" i="5"/>
  <c r="S17" i="5"/>
  <c r="S11" i="5"/>
  <c r="S10" i="5"/>
  <c r="S8"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<sst xmlns="http://schemas.openxmlformats.org/spreadsheetml/2006/main" count="21920" uniqueCount="15527">
  <si>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</si>
  <si>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</si>
  <si>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</si>
  <si>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</si>
  <si>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</si>
  <si>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</si>
  <si>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</si>
  <si>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</si>
  <si>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</si>
  <si>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</si>
  <si>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</si>
  <si>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</si>
  <si>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</si>
  <si>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</si>
  <si>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</si>
  <si>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</si>
  <si>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</si>
  <si>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</si>
  <si>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</si>
  <si>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</si>
  <si>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</si>
  <si>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</si>
  <si>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</si>
  <si>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</si>
  <si>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</si>
  <si>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</si>
  <si>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</si>
  <si>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</si>
  <si>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</si>
  <si>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</si>
  <si>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</si>
  <si>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</si>
  <si>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</si>
  <si>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</si>
  <si>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</si>
  <si>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</si>
  <si>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</si>
  <si>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</si>
  <si>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</si>
  <si>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</si>
  <si>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</si>
  <si>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</si>
  <si>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</si>
  <si>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</si>
  <si>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</si>
  <si>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</si>
  <si>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</si>
  <si>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</si>
  <si>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</si>
  <si>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</si>
  <si>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</si>
  <si>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</si>
  <si>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</si>
  <si>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</si>
  <si>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</si>
  <si>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</si>
  <si>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</si>
  <si>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</si>
  <si>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</si>
  <si>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</si>
  <si>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</si>
  <si>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</si>
  <si>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</si>
  <si>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</si>
  <si>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</si>
  <si>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</si>
  <si>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</si>
  <si>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</si>
  <si>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</si>
  <si>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</si>
  <si>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</si>
  <si>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</si>
  <si>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</si>
  <si>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</si>
  <si>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</si>
  <si>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</si>
  <si>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</si>
  <si>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</si>
  <si>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</si>
  <si>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</si>
  <si>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</si>
  <si>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</si>
  <si>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</si>
  <si>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</si>
  <si>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</si>
  <si>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</si>
  <si>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</si>
  <si>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</si>
  <si>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</si>
  <si>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</si>
  <si>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</si>
  <si>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</si>
  <si>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</si>
  <si>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</si>
  <si>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</si>
  <si>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</si>
  <si>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</si>
  <si>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</si>
  <si>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</si>
  <si>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</si>
  <si>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</si>
  <si>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</si>
  <si>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</si>
  <si>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</si>
  <si>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</si>
  <si>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</si>
  <si>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</si>
  <si>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</si>
  <si>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</si>
  <si>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</si>
  <si>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</si>
  <si>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</si>
  <si>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</si>
  <si>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</si>
  <si>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</si>
  <si>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</si>
  <si>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</si>
  <si>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</si>
  <si>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</si>
  <si>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</si>
  <si>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</si>
  <si>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</si>
  <si>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</si>
  <si>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</si>
  <si>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</si>
  <si>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</si>
  <si>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</si>
  <si>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</si>
  <si>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</si>
  <si>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</si>
  <si>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</si>
  <si>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</si>
  <si>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</si>
  <si>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</si>
  <si>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</si>
  <si>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</si>
  <si>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</si>
  <si>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</si>
  <si>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</si>
  <si>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</si>
  <si>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</si>
  <si>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</si>
  <si>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</si>
  <si>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</si>
  <si>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</si>
  <si>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</si>
  <si>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</si>
  <si>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</si>
  <si>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</si>
  <si>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</si>
  <si>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</si>
  <si>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</si>
  <si>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</si>
  <si>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</si>
  <si>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</si>
  <si>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</si>
  <si>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</si>
  <si>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</si>
  <si>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</si>
  <si>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</si>
  <si>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</si>
  <si>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</si>
  <si>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</si>
  <si>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</si>
  <si>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</si>
  <si>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</si>
  <si>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</si>
  <si>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</si>
  <si>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</si>
  <si>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</si>
  <si>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</si>
  <si>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</si>
  <si>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</si>
  <si>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</si>
  <si>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</si>
  <si>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</si>
  <si>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</si>
  <si>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</si>
  <si>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</si>
  <si>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</si>
  <si>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</si>
  <si>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</si>
  <si>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</si>
  <si>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</si>
  <si>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</si>
  <si>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</si>
  <si>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</si>
  <si>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</si>
  <si>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</si>
  <si>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</si>
  <si>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</si>
  <si>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</si>
  <si>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</si>
  <si>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</si>
  <si>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</si>
  <si>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</si>
  <si>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</si>
  <si>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</si>
  <si>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</si>
  <si>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</si>
  <si>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</si>
  <si>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</si>
  <si>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</si>
  <si>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</si>
  <si>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</si>
  <si>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</si>
  <si>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</si>
  <si>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</si>
  <si>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</si>
  <si>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</si>
  <si>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</si>
  <si>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</si>
  <si>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</si>
  <si>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</si>
  <si>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</si>
  <si>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</si>
  <si>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</si>
  <si>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</si>
  <si>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</si>
  <si>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</si>
  <si>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</si>
  <si>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</si>
  <si>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</si>
  <si>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</si>
  <si>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</si>
  <si>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</si>
  <si>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</si>
  <si>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</si>
  <si>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</si>
  <si>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</si>
  <si>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</si>
  <si>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</si>
  <si>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</si>
  <si>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</si>
  <si>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</si>
  <si>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</si>
  <si>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</si>
  <si>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</si>
  <si>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</si>
  <si>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</si>
  <si>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</si>
  <si>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</si>
  <si>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</si>
  <si>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</si>
  <si>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</si>
  <si>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</si>
  <si>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</si>
  <si>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</si>
  <si>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</si>
  <si>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</si>
  <si>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</si>
  <si>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</si>
  <si>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</si>
  <si>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</si>
  <si>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</si>
  <si>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</si>
  <si>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</si>
  <si>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</si>
  <si>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</si>
  <si>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</si>
  <si>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</si>
  <si>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</si>
  <si>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</si>
  <si>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</si>
  <si>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</si>
  <si>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</si>
  <si>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</si>
  <si>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</si>
  <si>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</si>
  <si>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</si>
  <si>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</si>
  <si>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</si>
  <si>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</si>
  <si>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</si>
  <si>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</si>
  <si>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</si>
  <si>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</si>
  <si>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</si>
  <si>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</si>
  <si>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</si>
  <si>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</si>
  <si>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</si>
  <si>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</si>
  <si>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</si>
  <si>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</si>
  <si>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</si>
  <si>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</si>
  <si>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</si>
  <si>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</si>
  <si>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</si>
  <si>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</si>
  <si>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</si>
  <si>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</si>
  <si>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</si>
  <si>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</si>
  <si>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</si>
  <si>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</si>
  <si>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</si>
  <si>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</si>
  <si>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</si>
  <si>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</si>
  <si>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</si>
  <si>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</si>
  <si>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</si>
  <si>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</si>
  <si>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</si>
  <si>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</si>
  <si>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</si>
  <si>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</si>
  <si>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</si>
  <si>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</si>
  <si>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</si>
  <si>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</si>
  <si>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</si>
  <si>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</si>
  <si>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</si>
  <si>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</si>
  <si>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</si>
  <si>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</si>
  <si>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</si>
  <si>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</si>
  <si>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</si>
  <si>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</si>
  <si>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</si>
  <si>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</si>
  <si>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</si>
  <si>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</si>
  <si>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</si>
  <si>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</si>
  <si>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</si>
  <si>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</si>
  <si>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</si>
  <si>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</si>
  <si>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</si>
  <si>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</si>
  <si>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</si>
  <si>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</si>
  <si>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</si>
  <si>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</si>
  <si>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</si>
  <si>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</si>
  <si>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</si>
  <si>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</si>
  <si>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</si>
  <si>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</si>
  <si>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</si>
  <si>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</si>
  <si>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</si>
  <si>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</si>
  <si>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</si>
  <si>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</si>
  <si>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</si>
  <si>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</si>
  <si>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</si>
  <si>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</si>
  <si>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</si>
  <si>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</si>
  <si>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</si>
  <si>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</si>
  <si>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</si>
  <si>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</si>
  <si>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</si>
  <si>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</si>
  <si>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</si>
  <si>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</si>
  <si>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</si>
  <si>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</si>
  <si>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</si>
  <si>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</si>
  <si>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</si>
  <si>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</si>
  <si>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</si>
  <si>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</si>
  <si>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</si>
  <si>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</si>
  <si>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</si>
  <si>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</si>
  <si>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</si>
  <si>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</si>
  <si>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</si>
  <si>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</si>
  <si>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</si>
  <si>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</si>
  <si>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</si>
  <si>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</si>
  <si>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</si>
  <si>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</si>
  <si>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</si>
  <si>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</si>
  <si>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</si>
  <si>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</si>
  <si>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</si>
  <si>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</si>
  <si>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</si>
  <si>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</si>
  <si>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</si>
  <si>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</si>
  <si>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</si>
  <si>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</si>
  <si>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</si>
  <si>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</si>
  <si>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</si>
  <si>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</si>
  <si>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</si>
  <si>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</si>
  <si>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</si>
  <si>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</si>
  <si>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</si>
  <si>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</si>
  <si>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</si>
  <si>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</si>
  <si>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</si>
  <si>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</si>
  <si>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</si>
  <si>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</si>
  <si>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</si>
  <si>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</si>
  <si>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</si>
  <si>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</si>
  <si>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</si>
  <si>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</si>
  <si>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</si>
  <si>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</si>
  <si>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</si>
  <si>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</si>
  <si>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</si>
  <si>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</si>
  <si>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</si>
  <si>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</si>
  <si>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</si>
  <si>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</si>
  <si>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</si>
  <si>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</si>
  <si>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</si>
  <si>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</si>
  <si>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</si>
  <si>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</si>
  <si>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</si>
  <si>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</si>
  <si>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</si>
  <si>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</si>
  <si>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</si>
  <si>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</si>
  <si>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</si>
  <si>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</si>
  <si>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</si>
  <si>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</si>
  <si>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</si>
  <si>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</si>
  <si>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</si>
  <si>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</si>
  <si>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</si>
  <si>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</si>
  <si>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</si>
  <si>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</si>
  <si>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</si>
  <si>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</si>
  <si>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</si>
  <si>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</si>
  <si>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</si>
  <si>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</si>
  <si>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</si>
  <si>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</si>
  <si>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</si>
  <si>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</si>
  <si>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</si>
  <si>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</si>
  <si>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</si>
  <si>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</si>
  <si>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</si>
  <si>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</si>
  <si>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</si>
  <si>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</si>
  <si>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</si>
  <si>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</si>
  <si>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</si>
  <si>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</si>
  <si>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</si>
  <si>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</si>
  <si>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</si>
  <si>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</si>
  <si>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</si>
  <si>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</si>
  <si>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</si>
  <si>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</si>
  <si>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</si>
  <si>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</si>
  <si>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</si>
  <si>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</si>
  <si>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</si>
  <si>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</si>
  <si>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</si>
  <si>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</si>
  <si>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</si>
  <si>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</si>
  <si>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</si>
  <si>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</si>
  <si>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</si>
  <si>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</si>
  <si>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</si>
  <si>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</si>
  <si>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</si>
  <si>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</si>
  <si>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</si>
  <si>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</si>
  <si>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</si>
  <si>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</si>
  <si>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</si>
  <si>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</si>
  <si>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</si>
  <si>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</si>
  <si>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</si>
  <si>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</si>
  <si>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</si>
  <si>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</si>
  <si>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</si>
  <si>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</si>
  <si>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</si>
  <si>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</si>
  <si>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</si>
  <si>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</si>
  <si>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</si>
  <si>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</si>
  <si>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</si>
  <si>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</si>
  <si>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</si>
  <si>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</si>
  <si>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</si>
  <si>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</si>
  <si>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</si>
  <si>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</si>
  <si>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</si>
  <si>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</si>
  <si>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</si>
  <si>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</si>
  <si>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</si>
  <si>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</si>
  <si>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</si>
  <si>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</si>
  <si>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</si>
  <si>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</si>
  <si>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</si>
  <si>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</si>
  <si>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</si>
  <si>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</si>
  <si>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</si>
  <si>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</si>
  <si>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</si>
  <si>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</si>
  <si>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</si>
  <si>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</si>
  <si>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</si>
  <si>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</si>
  <si>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</si>
  <si>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</si>
  <si>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</si>
  <si>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</si>
  <si>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</si>
  <si>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</si>
  <si>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</si>
  <si>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</si>
  <si>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</si>
  <si>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</si>
  <si>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</si>
  <si>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</si>
  <si>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</si>
  <si>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</si>
  <si>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</si>
  <si>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</si>
  <si>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</si>
  <si>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</si>
  <si>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</si>
  <si>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</si>
  <si>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</si>
  <si>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</si>
  <si>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</si>
  <si>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</si>
  <si>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</si>
  <si>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</si>
  <si>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</si>
  <si>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</si>
  <si>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</si>
  <si>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</si>
  <si>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</si>
  <si>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</si>
  <si>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</si>
  <si>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</si>
  <si>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</si>
  <si>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</si>
  <si>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</si>
  <si>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</si>
  <si>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</si>
  <si>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</si>
  <si>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</si>
  <si>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</si>
  <si>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</si>
  <si>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</si>
  <si>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</si>
  <si>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</si>
  <si>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</si>
  <si>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</si>
  <si>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</si>
  <si>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</si>
  <si>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</si>
  <si>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</si>
  <si>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</si>
  <si>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</si>
  <si>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</si>
  <si>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</si>
  <si>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</si>
  <si>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</si>
  <si>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</si>
  <si>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</si>
  <si>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</si>
  <si>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</si>
  <si>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</si>
  <si>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</si>
  <si>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</si>
  <si>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</si>
  <si>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</si>
  <si>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</si>
  <si>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</si>
  <si>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</si>
  <si>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</si>
  <si>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</si>
  <si>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</si>
  <si>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</si>
  <si>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</si>
  <si>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</si>
  <si>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</si>
  <si>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</si>
  <si>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</si>
  <si>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</si>
  <si>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</si>
  <si>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</si>
  <si>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</si>
  <si>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</si>
  <si>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</si>
  <si>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</si>
  <si>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</si>
  <si>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</si>
  <si>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</si>
  <si>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</si>
  <si>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</si>
  <si>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</si>
  <si>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</si>
  <si>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</si>
  <si>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</si>
  <si>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</si>
  <si>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</si>
  <si>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</si>
  <si>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</si>
  <si>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</si>
  <si>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</si>
  <si>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</si>
  <si>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</si>
  <si>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</si>
  <si>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</si>
  <si>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</si>
  <si>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</si>
  <si>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</si>
  <si>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</si>
  <si>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</si>
  <si>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</si>
  <si>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</si>
  <si>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</si>
  <si>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</si>
  <si>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</si>
  <si>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</si>
  <si>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</si>
  <si>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</si>
  <si>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</si>
  <si>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</si>
  <si>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</si>
  <si>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</si>
  <si>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</si>
  <si>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</si>
  <si>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</si>
  <si>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</si>
  <si>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</si>
  <si>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</si>
  <si>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</si>
  <si>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</si>
  <si>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</si>
  <si>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</si>
  <si>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</si>
  <si>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</si>
  <si>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</si>
  <si>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</si>
  <si>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</si>
  <si>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</si>
  <si>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</si>
  <si>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</si>
  <si>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</si>
  <si>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</si>
  <si>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</si>
  <si>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</si>
  <si>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</si>
  <si>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</si>
  <si>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</si>
  <si>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</si>
  <si>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</si>
  <si>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</si>
  <si>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</si>
  <si>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</si>
  <si>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</si>
  <si>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</si>
  <si>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</si>
  <si>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</si>
  <si>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</si>
  <si>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</si>
  <si>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</si>
  <si>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</si>
  <si>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</si>
  <si>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</si>
  <si>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</si>
  <si>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</si>
  <si>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</si>
  <si>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</si>
  <si>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</si>
  <si>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</si>
  <si>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</si>
  <si>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</si>
  <si>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</si>
  <si>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</si>
  <si>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</si>
  <si>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</si>
  <si>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</si>
  <si>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</si>
  <si>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</si>
  <si>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</si>
  <si>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</si>
  <si>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</si>
  <si>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</si>
  <si>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</si>
  <si>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</si>
  <si>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</si>
  <si>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</si>
  <si>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</si>
  <si>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</si>
  <si>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</si>
  <si>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</si>
  <si>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</si>
  <si>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</si>
  <si>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</si>
  <si>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</si>
  <si>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</si>
  <si>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</si>
  <si>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</si>
  <si>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</si>
  <si>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</si>
  <si>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</si>
  <si>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</si>
  <si>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</si>
  <si>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</si>
  <si>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</si>
  <si>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</si>
  <si>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</si>
  <si>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</si>
  <si>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</si>
  <si>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</si>
  <si>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</si>
  <si>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</si>
  <si>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</si>
  <si>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</si>
  <si>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</si>
  <si>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</si>
  <si>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</si>
  <si>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</si>
  <si>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</si>
  <si>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</si>
  <si>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</si>
  <si>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</si>
  <si>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</si>
  <si>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</si>
  <si>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</si>
  <si>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</si>
  <si>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</si>
  <si>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</si>
  <si>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</si>
  <si>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</si>
  <si>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</si>
  <si>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</si>
  <si>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</si>
  <si>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</si>
  <si>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</si>
  <si>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</si>
  <si>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</si>
  <si>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</si>
  <si>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</si>
  <si>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</si>
  <si>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</si>
  <si>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</si>
  <si>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</si>
  <si>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</si>
  <si>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</si>
  <si>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</si>
  <si>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</si>
  <si>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</si>
  <si>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</si>
  <si>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</si>
  <si>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</si>
  <si>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</si>
  <si>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</si>
  <si>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</si>
  <si>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</si>
  <si>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</si>
  <si>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</si>
  <si>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</si>
  <si>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</si>
  <si>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</si>
  <si>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</si>
  <si>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</si>
  <si>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</si>
  <si>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</si>
  <si>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</si>
  <si>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</si>
  <si>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</si>
  <si>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</si>
  <si>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</si>
  <si>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</si>
  <si>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</si>
  <si>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</si>
  <si>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</si>
  <si>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</si>
  <si>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</si>
  <si>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</si>
  <si>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</si>
  <si>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</si>
  <si>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</si>
  <si>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</si>
  <si>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</si>
  <si>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</si>
  <si>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</si>
  <si>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</si>
  <si>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</si>
  <si>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</si>
  <si>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</si>
  <si>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</si>
  <si>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</si>
  <si>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</si>
  <si>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</si>
  <si>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</si>
  <si>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</si>
  <si>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</si>
  <si>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</si>
  <si>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</si>
  <si>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</si>
  <si>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</si>
  <si>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</si>
  <si>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</si>
  <si>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</si>
  <si>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</si>
  <si>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</si>
  <si>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</si>
  <si>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</si>
  <si>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</si>
  <si>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</si>
  <si>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</si>
  <si>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</si>
  <si>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</si>
  <si>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</si>
  <si>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</si>
  <si>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</si>
  <si>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</si>
  <si>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</si>
  <si>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</si>
  <si>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</si>
  <si>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</si>
  <si>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</si>
  <si>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</si>
  <si>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</si>
  <si>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</si>
  <si>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</si>
  <si>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</si>
  <si>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</si>
  <si>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</si>
  <si>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</si>
  <si>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</si>
  <si>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</si>
  <si>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</si>
  <si>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</si>
  <si>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</si>
  <si>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</si>
  <si>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</si>
  <si>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</si>
  <si>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</si>
  <si>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</si>
  <si>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</si>
  <si>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</si>
  <si>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</si>
  <si>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</si>
  <si>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</si>
  <si>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</si>
  <si>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</si>
  <si>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</si>
  <si>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</si>
  <si>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</si>
  <si>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</si>
  <si>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</si>
  <si>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</si>
  <si>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</si>
  <si>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</si>
  <si>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</si>
  <si>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</si>
  <si>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</si>
  <si>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</si>
  <si>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</si>
  <si>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</si>
  <si>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</si>
  <si>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</si>
  <si>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</si>
  <si>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</si>
  <si>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</si>
  <si>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</si>
  <si>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</si>
  <si>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</si>
  <si>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</si>
  <si>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</si>
  <si>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</si>
  <si>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</si>
  <si>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</si>
  <si>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</si>
  <si>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</si>
  <si>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</si>
  <si>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</si>
  <si>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</si>
  <si>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</si>
  <si>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</si>
  <si>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</si>
  <si>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</si>
  <si>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</si>
  <si>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</si>
  <si>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</si>
  <si>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</si>
  <si>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</si>
  <si>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</si>
  <si>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</si>
  <si>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</si>
  <si>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</si>
  <si>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</si>
  <si>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</si>
  <si>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</si>
  <si>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</si>
  <si>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</si>
  <si>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</si>
  <si>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</si>
  <si>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</si>
  <si>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</si>
  <si>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</si>
  <si>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</si>
  <si>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</si>
  <si>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</si>
  <si>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</si>
  <si>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</si>
  <si>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</si>
  <si>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</si>
  <si>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</si>
  <si>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</si>
  <si>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</si>
  <si>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</si>
  <si>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</si>
  <si>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</si>
  <si>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</si>
  <si>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</si>
  <si>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</si>
  <si>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</si>
  <si>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</si>
  <si>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</si>
  <si>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</si>
  <si>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</si>
  <si>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</si>
  <si>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</si>
  <si>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</si>
  <si>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</si>
  <si>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</si>
  <si>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</si>
  <si>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</si>
  <si>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</si>
  <si>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</si>
  <si>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</si>
  <si>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</si>
  <si>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</si>
  <si>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</si>
  <si>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</si>
  <si>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</si>
  <si>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</si>
  <si>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</si>
  <si>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</si>
  <si>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</si>
  <si>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</si>
  <si>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</si>
  <si>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</si>
  <si>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</si>
  <si>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</si>
  <si>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</si>
  <si>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</si>
  <si>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</si>
  <si>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</si>
  <si>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</si>
  <si>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</si>
  <si>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</si>
  <si>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</si>
  <si>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</si>
  <si>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</si>
  <si>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</si>
  <si>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</si>
  <si>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</si>
  <si>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</si>
  <si>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</si>
  <si>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</si>
  <si>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</si>
  <si>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</si>
  <si>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</si>
  <si>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</si>
  <si>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</si>
  <si>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</si>
  <si>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</si>
  <si>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</si>
  <si>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</si>
  <si>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</si>
  <si>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</si>
  <si>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</si>
  <si>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</si>
  <si>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</si>
  <si>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</si>
  <si>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</si>
  <si>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</si>
  <si>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</si>
  <si>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</si>
  <si>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</si>
  <si>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</si>
  <si>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</si>
  <si>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</si>
  <si>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</si>
  <si>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</si>
  <si>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</si>
  <si>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</si>
  <si>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</si>
  <si>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</si>
  <si>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</si>
  <si>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</si>
  <si>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</si>
  <si>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</si>
  <si>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</si>
  <si>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</si>
  <si>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</si>
  <si>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</si>
  <si>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</si>
  <si>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</si>
  <si>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</si>
  <si>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</si>
  <si>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</si>
  <si>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</si>
  <si>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</si>
  <si>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</si>
  <si>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</si>
  <si>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</si>
  <si>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</si>
  <si>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</si>
  <si>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</si>
  <si>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</si>
  <si>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</si>
  <si>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</si>
  <si>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</si>
  <si>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</si>
  <si>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</si>
  <si>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</si>
  <si>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</si>
  <si>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</si>
  <si>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</si>
  <si>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</si>
  <si>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</si>
  <si>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</si>
  <si>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</si>
  <si>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</si>
  <si>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</si>
  <si>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</si>
  <si>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</si>
  <si>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</si>
  <si>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</si>
  <si>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</si>
  <si>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</si>
  <si>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</si>
  <si>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</si>
  <si>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</si>
  <si>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</si>
  <si>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</si>
  <si>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</si>
  <si>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</si>
  <si>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</si>
  <si>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</si>
  <si>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</si>
  <si>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</si>
  <si>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</si>
  <si>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</si>
  <si>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</si>
  <si>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</si>
  <si>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</si>
  <si>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</si>
  <si>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</si>
  <si>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</si>
  <si>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</si>
  <si>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</si>
  <si>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</si>
  <si>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</si>
  <si>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</si>
  <si>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</si>
  <si>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</si>
  <si>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</si>
  <si>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</si>
  <si>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</si>
  <si>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</si>
  <si>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</si>
  <si>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</si>
  <si>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</si>
  <si>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</si>
  <si>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</si>
  <si>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</si>
  <si>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</si>
  <si>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</si>
  <si>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</si>
  <si>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</si>
  <si>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</si>
  <si>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</si>
  <si>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</si>
  <si>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</si>
  <si>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</si>
  <si>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</si>
  <si>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</si>
  <si>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</si>
  <si>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</si>
  <si>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</si>
  <si>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</si>
  <si>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</si>
  <si>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</si>
  <si>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</si>
  <si>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</si>
  <si>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</si>
  <si>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</si>
  <si>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</si>
  <si>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</si>
  <si>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</si>
  <si>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</si>
  <si>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</si>
  <si>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</si>
  <si>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</si>
  <si>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</si>
  <si>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</si>
  <si>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</si>
  <si>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</si>
  <si>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</si>
  <si>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</si>
  <si>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</si>
  <si>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</si>
  <si>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</si>
  <si>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</si>
  <si>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</si>
  <si>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</si>
  <si>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</si>
  <si>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</si>
  <si>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</si>
  <si>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</si>
  <si>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</si>
  <si>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</si>
  <si>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</si>
  <si>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</si>
  <si>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</si>
  <si>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</si>
  <si>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</si>
  <si>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</si>
  <si>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</si>
  <si>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</si>
  <si>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</si>
  <si>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</si>
  <si>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</si>
  <si>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</si>
  <si>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</si>
  <si>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</si>
  <si>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</si>
  <si>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</si>
  <si>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</si>
  <si>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</si>
  <si>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</si>
  <si>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</si>
  <si>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</si>
  <si>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</si>
  <si>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</si>
  <si>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</si>
  <si>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</si>
  <si>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</si>
  <si>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</si>
  <si>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</si>
  <si>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</si>
  <si>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</si>
  <si>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</si>
  <si>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</si>
  <si>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</si>
  <si>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</si>
  <si>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</si>
  <si>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</si>
  <si>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</si>
  <si>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</si>
  <si>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</si>
  <si>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</si>
  <si>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</si>
  <si>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</si>
  <si>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</si>
  <si>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</si>
  <si>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</si>
  <si>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</si>
  <si>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</si>
  <si>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</si>
  <si>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</si>
  <si>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</si>
  <si>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</si>
  <si>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</si>
  <si>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</si>
  <si>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</si>
  <si>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</si>
  <si>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</si>
  <si>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</si>
  <si>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</si>
  <si>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</si>
  <si>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</si>
  <si>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</si>
  <si>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</si>
  <si>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</si>
  <si>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</si>
  <si>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</si>
  <si>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</si>
  <si>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</si>
  <si>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</si>
  <si>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</si>
  <si>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</si>
  <si>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</si>
  <si>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</si>
  <si>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</si>
  <si>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</si>
  <si>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</si>
  <si>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</si>
  <si>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</si>
  <si>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</si>
  <si>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</si>
  <si>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</si>
  <si>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</si>
  <si>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</si>
  <si>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</si>
  <si>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</si>
  <si>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</si>
  <si>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</si>
  <si>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</si>
  <si>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</si>
  <si>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</si>
  <si>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</si>
  <si>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</si>
  <si>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</si>
  <si>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</si>
  <si>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</si>
  <si>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</si>
  <si>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</si>
  <si>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</si>
  <si>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</si>
  <si>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</si>
  <si>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</si>
  <si>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</si>
  <si>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</si>
  <si>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</si>
  <si>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</si>
  <si>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</si>
  <si>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</si>
  <si>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</si>
  <si>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</si>
  <si>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</si>
  <si>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</si>
  <si>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</si>
  <si>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</si>
  <si>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</si>
  <si>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</si>
  <si>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</si>
  <si>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</si>
  <si>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</si>
  <si>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</si>
  <si>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</si>
  <si>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</si>
  <si>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</si>
  <si>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</si>
  <si>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</si>
  <si>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</si>
  <si>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</si>
  <si>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</si>
  <si>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</si>
  <si>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</si>
  <si>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</si>
  <si>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</si>
  <si>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</si>
  <si>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</si>
  <si>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</si>
  <si>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</si>
  <si>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</si>
  <si>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</si>
  <si>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</si>
  <si>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</si>
  <si>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</si>
  <si>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</si>
  <si>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</si>
  <si>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</si>
  <si>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</si>
  <si>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</si>
  <si>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</si>
  <si>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</si>
  <si>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</si>
  <si>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</si>
  <si>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</si>
  <si>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</si>
  <si>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</si>
  <si>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</si>
  <si>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</si>
  <si>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</si>
  <si>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</si>
  <si>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</si>
  <si>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</si>
  <si>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</si>
  <si>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</si>
  <si>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</si>
  <si>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</si>
  <si>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</si>
  <si>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</si>
  <si>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</si>
  <si>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</si>
  <si>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</si>
  <si>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</si>
  <si>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</si>
  <si>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</si>
  <si>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</si>
  <si>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</si>
  <si>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</si>
  <si>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</si>
  <si>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</si>
  <si>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</si>
  <si>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</si>
  <si>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</si>
  <si>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</si>
  <si>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</si>
  <si>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</si>
  <si>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</si>
  <si>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</si>
  <si>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</si>
  <si>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</si>
  <si>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</si>
  <si>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</si>
  <si>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</si>
  <si>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</si>
  <si>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</si>
  <si>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</si>
  <si>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</si>
  <si>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</si>
  <si>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</si>
  <si>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</si>
  <si>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</si>
  <si>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</si>
  <si>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</si>
  <si>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</si>
  <si>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</si>
  <si>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</si>
  <si>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</si>
  <si>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</si>
  <si>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</si>
  <si>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</si>
  <si>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</si>
  <si>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</si>
  <si>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</si>
  <si>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</si>
  <si>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</si>
  <si>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</si>
  <si>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</si>
  <si>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</si>
  <si>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</si>
  <si>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</si>
  <si>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</si>
  <si>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</si>
  <si>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</si>
  <si>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</si>
  <si>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</si>
  <si>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</si>
  <si>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</si>
  <si>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</si>
  <si>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</si>
  <si>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</si>
  <si>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</si>
  <si>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</si>
  <si>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</si>
  <si>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</si>
  <si>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</si>
  <si>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</si>
  <si>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</si>
  <si>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</si>
  <si>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</si>
  <si>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</si>
  <si>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</si>
  <si>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</si>
  <si>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</si>
  <si>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</si>
  <si>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</si>
  <si>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</si>
  <si>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</si>
  <si>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</si>
  <si>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</si>
  <si>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</si>
  <si>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</si>
  <si>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</si>
  <si>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</si>
  <si>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</si>
  <si>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</si>
  <si>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</si>
  <si>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</si>
  <si>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</si>
  <si>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</si>
  <si>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</si>
  <si>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</si>
  <si>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</si>
  <si>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</si>
  <si>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</si>
  <si>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</si>
  <si>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</si>
  <si>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</si>
  <si>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</si>
  <si>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</si>
  <si>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</si>
  <si>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</si>
  <si>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</si>
  <si>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</si>
  <si>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</si>
  <si>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</si>
  <si>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</si>
  <si>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</si>
  <si>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</si>
  <si>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</si>
  <si>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</si>
  <si>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</si>
  <si>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</si>
  <si>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</si>
  <si>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</si>
  <si>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</si>
  <si>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</si>
  <si>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</si>
  <si>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</si>
  <si>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</si>
  <si>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</si>
  <si>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</si>
  <si>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</si>
  <si>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</si>
  <si>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</si>
  <si>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</si>
  <si>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</si>
  <si>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</si>
  <si>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</si>
  <si>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</si>
  <si>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</si>
  <si>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</si>
  <si>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</si>
  <si>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</si>
  <si>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</si>
  <si>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</si>
  <si>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</si>
  <si>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</si>
  <si>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</si>
  <si>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</si>
  <si>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</si>
  <si>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</si>
  <si>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</si>
  <si>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</si>
  <si>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</si>
  <si>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</si>
  <si>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</si>
  <si>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</si>
  <si>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</si>
  <si>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</si>
  <si>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</si>
  <si>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</si>
  <si>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</si>
  <si>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</si>
  <si>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</si>
  <si>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</si>
  <si>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</si>
  <si>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</si>
  <si>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</si>
  <si>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</si>
  <si>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</si>
  <si>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</si>
  <si>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</si>
  <si>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</si>
  <si>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</si>
  <si>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</si>
  <si>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</si>
  <si>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</si>
  <si>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</si>
  <si>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</si>
  <si>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</si>
  <si>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</si>
  <si>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</si>
  <si>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</si>
  <si>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</si>
  <si>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</si>
  <si>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</si>
  <si>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</si>
  <si>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</si>
  <si>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</si>
  <si>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</si>
  <si>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</si>
  <si>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</si>
  <si>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</si>
  <si>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</si>
  <si>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</si>
  <si>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</si>
  <si>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</si>
  <si>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</si>
  <si>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</si>
  <si>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</si>
  <si>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</si>
  <si>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</si>
  <si>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</si>
  <si>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</si>
  <si>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</si>
  <si>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</si>
  <si>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</si>
  <si>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</si>
  <si>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</si>
  <si>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</si>
  <si>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</si>
  <si>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</si>
  <si>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</si>
  <si>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</si>
  <si>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</si>
  <si>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</si>
  <si>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</si>
  <si>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</si>
  <si>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</si>
  <si>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</si>
  <si>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</si>
  <si>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</si>
  <si>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</si>
  <si>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</si>
  <si>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</si>
  <si>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</si>
  <si>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</si>
  <si>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</si>
  <si>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</si>
  <si>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</si>
  <si>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</si>
  <si>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</si>
  <si>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</si>
  <si>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</si>
  <si>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</si>
  <si>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</si>
  <si>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</si>
  <si>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</si>
  <si>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</si>
  <si>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</si>
  <si>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</si>
  <si>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</si>
  <si>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</si>
  <si>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</si>
  <si>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</si>
  <si>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</si>
  <si>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</si>
  <si>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</si>
  <si>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</si>
  <si>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</si>
  <si>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</si>
  <si>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</si>
  <si>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</si>
  <si>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</si>
  <si>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</si>
  <si>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</si>
  <si>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</si>
  <si>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</si>
  <si>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</si>
  <si>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</si>
  <si>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</si>
  <si>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</si>
  <si>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</si>
  <si>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</si>
  <si>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</si>
  <si>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</si>
  <si>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</si>
  <si>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</si>
  <si>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</si>
  <si>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</si>
  <si>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</si>
  <si>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</si>
  <si>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</si>
  <si>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</si>
  <si>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</si>
  <si>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</si>
  <si>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</si>
  <si>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</si>
  <si>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</si>
  <si>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</si>
  <si>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</si>
  <si>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</si>
  <si>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</si>
  <si>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</si>
  <si>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</si>
  <si>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</si>
  <si>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</si>
  <si>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</si>
  <si>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</si>
  <si>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</si>
  <si>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</si>
  <si>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</si>
  <si>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</si>
  <si>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</si>
  <si>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</si>
  <si>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</si>
  <si>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</si>
  <si>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</si>
  <si>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</si>
  <si>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</si>
  <si>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</si>
  <si>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</si>
  <si>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</si>
  <si>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</si>
  <si>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</si>
  <si>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</si>
  <si>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</si>
  <si>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</si>
  <si>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</si>
  <si>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</si>
  <si>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</si>
  <si>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</si>
  <si>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</si>
  <si>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</si>
  <si>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</si>
  <si>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</si>
  <si>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</si>
  <si>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</si>
  <si>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</si>
  <si>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</si>
  <si>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</si>
  <si>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</si>
  <si>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</si>
  <si>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</si>
  <si>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</si>
  <si>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</si>
  <si>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</si>
  <si>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</si>
  <si>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</si>
  <si>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</si>
  <si>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</si>
  <si>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</si>
  <si>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</si>
  <si>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</si>
  <si>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</si>
  <si>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</si>
  <si>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</si>
  <si>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</si>
  <si>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</si>
  <si>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</si>
  <si>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</si>
  <si>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</si>
  <si>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</si>
  <si>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</si>
  <si>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</si>
  <si>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</si>
  <si>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</si>
  <si>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</si>
  <si>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</si>
  <si>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</si>
  <si>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</si>
  <si>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</si>
  <si>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</si>
  <si>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</si>
  <si>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</si>
  <si>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</si>
  <si>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</si>
  <si>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</si>
  <si>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</si>
  <si>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</si>
  <si>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</si>
  <si>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</si>
  <si>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</si>
  <si>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</si>
  <si>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</si>
  <si>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</si>
  <si>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</si>
  <si>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</si>
  <si>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</si>
  <si>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</si>
  <si>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</si>
  <si>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</si>
  <si>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</si>
  <si>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</si>
  <si>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</si>
  <si>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</si>
  <si>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</si>
  <si>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</si>
  <si>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</si>
  <si>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</si>
  <si>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</si>
  <si>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</si>
  <si>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</si>
  <si>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</si>
  <si>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</si>
  <si>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</si>
  <si>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</si>
  <si>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</si>
  <si>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</si>
  <si>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</si>
  <si>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</si>
  <si>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</si>
  <si>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</si>
  <si>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</si>
  <si>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</si>
  <si>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</si>
  <si>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</si>
  <si>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</si>
  <si>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</si>
  <si>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</si>
  <si>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</si>
  <si>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</si>
  <si>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</si>
  <si>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</si>
  <si>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</si>
  <si>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</si>
  <si>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</si>
  <si>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</si>
  <si>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</si>
  <si>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</si>
  <si>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</si>
  <si>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</si>
  <si>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</si>
  <si>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</si>
  <si>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</si>
  <si>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</si>
  <si>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</si>
  <si>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</si>
  <si>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</si>
  <si>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</si>
  <si>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</si>
  <si>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</si>
  <si>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</si>
  <si>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</si>
  <si>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</si>
  <si>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</si>
  <si>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</si>
  <si>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</si>
  <si>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</si>
  <si>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</si>
  <si>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</si>
  <si>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</si>
  <si>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</si>
  <si>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</si>
  <si>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</si>
  <si>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</si>
  <si>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</si>
  <si>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</si>
  <si>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</si>
  <si>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</si>
  <si>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</si>
  <si>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</si>
  <si>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</si>
  <si>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</si>
  <si>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</si>
  <si>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</si>
  <si>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</si>
  <si>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</si>
  <si>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</si>
  <si>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</si>
  <si>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</si>
  <si>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</si>
  <si>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</si>
  <si>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</si>
  <si>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</si>
  <si>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</si>
  <si>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</si>
  <si>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</si>
  <si>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</si>
  <si>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</si>
  <si>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</si>
  <si>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</si>
  <si>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</si>
  <si>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</si>
  <si>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</si>
  <si>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</si>
  <si>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</si>
  <si>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</si>
  <si>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</si>
  <si>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</si>
  <si>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</si>
  <si>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</si>
  <si>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</si>
  <si>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</si>
  <si>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</si>
  <si>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</si>
  <si>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</si>
  <si>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</si>
  <si>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</si>
  <si>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</si>
  <si>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</si>
  <si>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</si>
  <si>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</si>
  <si>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</si>
  <si>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</si>
  <si>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</si>
  <si>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</si>
  <si>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</si>
  <si>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</si>
  <si>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</si>
  <si>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</si>
  <si>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</si>
  <si>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</si>
  <si>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</si>
  <si>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</si>
  <si>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</si>
  <si>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</si>
  <si>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</si>
  <si>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</si>
  <si>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</si>
  <si>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</si>
  <si>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</si>
  <si>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</si>
  <si>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</si>
  <si>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</si>
  <si>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</si>
  <si>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</si>
  <si>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</si>
  <si>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</si>
  <si>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</si>
  <si>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</si>
  <si>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</si>
  <si>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</si>
  <si>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</si>
  <si>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</si>
  <si>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</si>
  <si>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</si>
  <si>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</si>
  <si>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</si>
  <si>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</si>
  <si>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</si>
  <si>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</si>
  <si>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</si>
  <si>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</si>
  <si>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</si>
  <si>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</si>
  <si>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</si>
  <si>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</si>
  <si>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</si>
  <si>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</si>
  <si>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</si>
  <si>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</si>
  <si>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</si>
  <si>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</si>
  <si>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</si>
  <si>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</si>
  <si>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</si>
  <si>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</si>
  <si>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</si>
  <si>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</si>
  <si>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</si>
  <si>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</si>
  <si>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</si>
  <si>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</si>
  <si>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</si>
  <si>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</si>
  <si>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</si>
  <si>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</si>
  <si>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</si>
  <si>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</si>
  <si>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</si>
  <si>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</si>
  <si>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</si>
  <si>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</si>
  <si>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</si>
  <si>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</si>
  <si>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</si>
  <si>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</si>
  <si>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</si>
  <si>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</si>
  <si>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</si>
  <si>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</si>
  <si>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</si>
  <si>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</si>
  <si>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</si>
  <si>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</si>
  <si>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</si>
  <si>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</si>
  <si>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</si>
  <si>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</si>
  <si>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</si>
  <si>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</si>
  <si>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</si>
  <si>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</si>
  <si>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</si>
  <si>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</si>
  <si>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</si>
  <si>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</si>
  <si>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</si>
  <si>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</si>
  <si>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</si>
  <si>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</si>
  <si>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</si>
  <si>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</si>
  <si>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</si>
  <si>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</si>
  <si>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</si>
  <si>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</si>
  <si>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</si>
  <si>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</si>
  <si>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</si>
  <si>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</si>
  <si>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</si>
  <si>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</si>
  <si>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</si>
  <si>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</si>
  <si>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</si>
  <si>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</si>
  <si>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</si>
  <si>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</si>
  <si>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</si>
  <si>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</si>
  <si>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</si>
  <si>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</si>
  <si>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</si>
  <si>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</si>
  <si>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</si>
  <si>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</si>
  <si>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</si>
  <si>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</si>
  <si>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</si>
  <si>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</si>
  <si>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</si>
  <si>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</si>
  <si>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</si>
  <si>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</si>
  <si>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</si>
  <si>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</si>
  <si>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</si>
  <si>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</si>
  <si>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</si>
  <si>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</si>
  <si>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</si>
  <si>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</si>
  <si>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</si>
  <si>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</si>
  <si>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</si>
  <si>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</si>
  <si>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</si>
  <si>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</si>
  <si>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</si>
  <si>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</si>
  <si>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</si>
  <si>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</si>
  <si>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</si>
  <si>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</si>
  <si>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</si>
  <si>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</si>
  <si>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</si>
  <si>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</si>
  <si>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</si>
  <si>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</si>
  <si>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</si>
  <si>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</si>
  <si>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</si>
  <si>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</si>
  <si>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</si>
  <si>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</si>
  <si>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</si>
  <si>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</si>
  <si>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</si>
  <si>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</si>
  <si>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</si>
  <si>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</si>
  <si>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</si>
  <si>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</si>
  <si>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</si>
  <si>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</si>
  <si>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</si>
  <si>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</si>
  <si>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</si>
  <si>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</si>
  <si>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</si>
  <si>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</si>
  <si>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</si>
  <si>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</si>
  <si>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</si>
  <si>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</si>
  <si>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</si>
  <si>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</si>
  <si>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</si>
  <si>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</si>
  <si>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</si>
  <si>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</si>
  <si>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</si>
  <si>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</si>
  <si>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</si>
  <si>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</si>
  <si>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</si>
  <si>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</si>
  <si>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</si>
  <si>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</si>
  <si>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</si>
  <si>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</si>
  <si>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</si>
  <si>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</si>
  <si>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</si>
  <si>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</si>
  <si>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</si>
  <si>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</si>
  <si>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</si>
  <si>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</si>
  <si>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</si>
  <si>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</si>
  <si>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</si>
  <si>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</si>
  <si>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</si>
  <si>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</si>
  <si>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</si>
  <si>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</si>
  <si>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</si>
  <si>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</si>
  <si>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</si>
  <si>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</si>
  <si>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</si>
  <si>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</si>
  <si>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</si>
  <si>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</si>
  <si>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</si>
  <si>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</si>
  <si>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</si>
  <si>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</si>
  <si>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</si>
  <si>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</si>
  <si>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</si>
  <si>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</si>
  <si>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</si>
  <si>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</si>
  <si>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</si>
  <si>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</si>
  <si>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</si>
  <si>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</si>
  <si>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</si>
  <si>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</si>
  <si>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</si>
  <si>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</si>
  <si>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</si>
  <si>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</si>
  <si>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</si>
  <si>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</si>
  <si>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</si>
  <si>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</si>
  <si>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</si>
  <si>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</si>
  <si>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</si>
  <si>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</si>
  <si>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</si>
  <si>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</si>
  <si>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</si>
  <si>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</si>
  <si>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</si>
  <si>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</si>
  <si>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</si>
  <si>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</si>
  <si>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</si>
  <si>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</si>
  <si>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</si>
  <si>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</si>
  <si>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</si>
  <si>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</si>
  <si>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</si>
  <si>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</si>
  <si>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</si>
  <si>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</si>
  <si>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</si>
  <si>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</si>
  <si>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</si>
  <si>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</si>
  <si>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</si>
  <si>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</si>
  <si>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</si>
  <si>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</si>
  <si>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</si>
  <si>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</si>
  <si>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</si>
  <si>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</si>
  <si>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</si>
  <si>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</si>
  <si>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</si>
  <si>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</si>
  <si>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</si>
  <si>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</si>
  <si>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</si>
  <si>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</si>
  <si>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</si>
  <si>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</si>
  <si>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</si>
  <si>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</si>
  <si>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</si>
  <si>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</si>
  <si>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</si>
  <si>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</si>
  <si>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</si>
  <si>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</si>
  <si>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</si>
  <si>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</si>
  <si>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</si>
  <si>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</si>
  <si>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</si>
  <si>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</si>
  <si>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</si>
  <si>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</si>
  <si>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</si>
  <si>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</si>
  <si>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</si>
  <si>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</si>
  <si>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</si>
  <si>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</si>
  <si>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</si>
  <si>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</si>
  <si>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</si>
  <si>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</si>
  <si>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</si>
  <si>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</si>
  <si>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</si>
  <si>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</si>
  <si>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</si>
  <si>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</si>
  <si>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</si>
  <si>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</si>
  <si>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</si>
  <si>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</si>
  <si>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</si>
  <si>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</si>
  <si>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</si>
  <si>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</si>
  <si>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</si>
  <si>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</si>
  <si>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</si>
  <si>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</si>
  <si>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</si>
  <si>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</si>
  <si>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</si>
  <si>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</si>
  <si>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</si>
  <si>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</si>
  <si>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</si>
  <si>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</si>
  <si>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</si>
  <si>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</si>
  <si>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</si>
  <si>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</si>
  <si>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</si>
  <si>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</si>
  <si>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</si>
  <si>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</si>
  <si>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</si>
  <si>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</si>
  <si>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</si>
  <si>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</si>
  <si>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</si>
  <si>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</si>
  <si>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</si>
  <si>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</si>
  <si>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</si>
  <si>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</si>
  <si>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</si>
  <si>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</si>
  <si>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</si>
  <si>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</si>
  <si>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</si>
  <si>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</si>
  <si>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</si>
  <si>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</si>
  <si>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</si>
  <si>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</si>
  <si>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</si>
  <si>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</si>
  <si>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</si>
  <si>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</si>
  <si>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</si>
  <si>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</si>
  <si>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</si>
  <si>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</si>
  <si>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</si>
  <si>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</si>
  <si>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</si>
  <si>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</si>
  <si>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</si>
  <si>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</si>
  <si>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</si>
  <si>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</si>
  <si>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</si>
  <si>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</si>
  <si>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</si>
  <si>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</si>
  <si>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</si>
  <si>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</si>
  <si>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</si>
  <si>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</si>
  <si>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</si>
  <si>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</si>
  <si>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</si>
  <si>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</si>
  <si>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</si>
  <si>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</si>
  <si>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</si>
  <si>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</si>
  <si>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</si>
  <si>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</si>
  <si>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</si>
  <si>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</si>
  <si>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</si>
  <si>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</si>
  <si>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</si>
  <si>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</si>
  <si>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</si>
  <si>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</si>
  <si>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</si>
  <si>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</si>
  <si>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</si>
  <si>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</si>
  <si>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</si>
  <si>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</si>
  <si>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</si>
  <si>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</si>
  <si>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</si>
  <si>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</si>
  <si>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</si>
  <si>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</si>
  <si>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</si>
  <si>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</si>
  <si>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</si>
  <si>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</si>
  <si>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</si>
  <si>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</si>
  <si>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</si>
  <si>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</si>
  <si>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</si>
  <si>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</si>
  <si>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</si>
  <si>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</si>
  <si>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</si>
  <si>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</si>
  <si>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</si>
  <si>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</si>
  <si>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</si>
  <si>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</si>
  <si>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</si>
  <si>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</si>
  <si>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</si>
  <si>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</si>
  <si>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</si>
  <si>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</si>
  <si>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</si>
  <si>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</si>
  <si>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</si>
  <si>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</si>
  <si>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</si>
  <si>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</si>
  <si>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</si>
  <si>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</si>
  <si>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</si>
  <si>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</si>
  <si>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</si>
  <si>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</si>
  <si>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</si>
  <si>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</si>
  <si>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</si>
  <si>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</si>
  <si>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</si>
  <si>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</si>
  <si>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</si>
  <si>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</si>
  <si>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</si>
  <si>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</si>
  <si>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</si>
  <si>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</si>
  <si>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</si>
  <si>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</si>
  <si>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</si>
  <si>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</si>
  <si>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</si>
  <si>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</si>
  <si>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</si>
  <si>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</si>
  <si>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</si>
  <si>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</si>
  <si>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</si>
  <si>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</si>
  <si>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</si>
  <si>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</si>
  <si>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</si>
  <si>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</si>
  <si>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</si>
  <si>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</si>
  <si>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</si>
  <si>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</si>
  <si>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</si>
  <si>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</si>
  <si>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</si>
  <si>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</si>
  <si>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</si>
  <si>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</si>
  <si>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</si>
  <si>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</si>
  <si>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</si>
  <si>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</si>
  <si>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</si>
  <si>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</si>
  <si>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</si>
  <si>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</si>
  <si>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</si>
  <si>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</si>
  <si>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</si>
  <si>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</si>
  <si>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</si>
  <si>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</si>
  <si>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</si>
  <si>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</si>
  <si>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</si>
  <si>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</si>
  <si>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</si>
  <si>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</si>
  <si>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</si>
  <si>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</si>
  <si>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</si>
  <si>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</si>
  <si>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</si>
  <si>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</si>
  <si>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</si>
  <si>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</si>
  <si>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</si>
  <si>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</si>
  <si>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</si>
  <si>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</si>
  <si>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</si>
  <si>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</si>
  <si>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</si>
  <si>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</si>
  <si>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</si>
  <si>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</si>
  <si>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</si>
  <si>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</si>
  <si>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</si>
  <si>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</si>
  <si>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</si>
  <si>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</si>
  <si>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</si>
  <si>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</si>
  <si>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</si>
  <si>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</si>
  <si>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</si>
  <si>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</si>
  <si>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</si>
  <si>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</si>
  <si>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</si>
  <si>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</si>
  <si>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</si>
  <si>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</si>
  <si>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</si>
  <si>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</si>
  <si>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</si>
  <si>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</si>
  <si>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</si>
  <si>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</si>
  <si>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</si>
  <si>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</si>
  <si>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</si>
  <si>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</si>
  <si>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</si>
  <si>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</si>
  <si>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</si>
  <si>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</si>
  <si>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</si>
  <si>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</si>
  <si>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</si>
  <si>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</si>
  <si>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</si>
  <si>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</si>
  <si>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</si>
  <si>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</si>
  <si>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</si>
  <si>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</si>
  <si>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</si>
  <si>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</si>
  <si>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</si>
  <si>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</si>
  <si>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</si>
  <si>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</si>
  <si>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</si>
  <si>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</si>
  <si>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</si>
  <si>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</si>
  <si>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</si>
  <si>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</si>
  <si>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</si>
  <si>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</si>
  <si>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</si>
  <si>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</si>
  <si>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</si>
  <si>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</si>
  <si>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</si>
  <si>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</si>
  <si>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</si>
  <si>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</si>
  <si>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</si>
  <si>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</si>
  <si>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</si>
  <si>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</si>
  <si>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</si>
  <si>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</si>
  <si>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</si>
  <si>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</si>
  <si>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</si>
  <si>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</si>
  <si>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</si>
  <si>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</si>
  <si>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</si>
  <si>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</si>
  <si>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</si>
  <si>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</si>
  <si>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</si>
  <si>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</si>
  <si>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</si>
  <si>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</si>
  <si>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</si>
  <si>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</si>
  <si>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</si>
  <si>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</si>
  <si>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</si>
  <si>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</si>
  <si>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</si>
  <si>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</si>
  <si>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</si>
  <si>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</si>
  <si>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</si>
  <si>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</si>
  <si>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</si>
  <si>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</si>
  <si>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</si>
  <si>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</si>
  <si>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</si>
  <si>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</si>
  <si>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</si>
  <si>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</si>
  <si>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</si>
  <si>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</si>
  <si>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</si>
  <si>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</si>
  <si>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</si>
  <si>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</si>
  <si>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</si>
  <si>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</si>
  <si>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</si>
  <si>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</si>
  <si>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</si>
  <si>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</si>
  <si>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</si>
  <si>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</si>
  <si>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</si>
  <si>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</si>
  <si>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</si>
  <si>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</si>
  <si>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</si>
  <si>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</si>
  <si>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</si>
  <si>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</si>
  <si>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</si>
  <si>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</si>
  <si>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</si>
  <si>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</si>
  <si>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</si>
  <si>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</si>
  <si>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</si>
  <si>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</si>
  <si>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</si>
  <si>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</si>
  <si>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</si>
  <si>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</si>
  <si>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</si>
  <si>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</si>
  <si>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</si>
  <si>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</si>
  <si>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</si>
  <si>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</si>
  <si>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</si>
  <si>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</si>
  <si>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</si>
  <si>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</si>
  <si>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</si>
  <si>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</si>
  <si>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</si>
  <si>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</si>
  <si>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</si>
  <si>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</si>
  <si>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</si>
  <si>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</si>
  <si>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</si>
  <si>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</si>
  <si>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</si>
  <si>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</si>
  <si>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</si>
  <si>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</si>
  <si>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</si>
  <si>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</si>
  <si>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</si>
  <si>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</si>
  <si>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</si>
  <si>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</si>
  <si>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</si>
  <si>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</si>
  <si>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</si>
  <si>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</si>
  <si>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</si>
  <si>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</si>
  <si>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</si>
  <si>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</si>
  <si>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</si>
  <si>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</si>
  <si>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</si>
  <si>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</si>
  <si>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</si>
  <si>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</si>
  <si>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</si>
  <si>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</si>
  <si>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</si>
  <si>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</si>
  <si>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</si>
  <si>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</si>
  <si>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</si>
  <si>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</si>
  <si>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</si>
  <si>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</si>
  <si>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</si>
  <si>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</si>
  <si>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</si>
  <si>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</si>
  <si>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</si>
  <si>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</si>
  <si>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</si>
  <si>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</si>
  <si>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</si>
  <si>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</si>
  <si>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</si>
  <si>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</si>
  <si>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</si>
  <si>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</si>
  <si>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</si>
  <si>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</si>
  <si>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</si>
  <si>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</si>
  <si>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</si>
  <si>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</si>
  <si>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</si>
  <si>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</si>
  <si>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</si>
  <si>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</si>
  <si>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</si>
  <si>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</si>
  <si>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</si>
  <si>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</si>
  <si>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</si>
  <si>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</si>
  <si>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</si>
  <si>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</si>
  <si>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</si>
  <si>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</si>
  <si>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</si>
  <si>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</si>
  <si>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</si>
  <si>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</si>
  <si>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</si>
  <si>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</si>
  <si>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</si>
  <si>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</si>
  <si>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</si>
  <si>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</si>
  <si>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</si>
  <si>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</si>
  <si>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</si>
  <si>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</si>
  <si>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</si>
  <si>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</si>
  <si>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</si>
  <si>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</si>
  <si>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</si>
  <si>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</si>
  <si>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</si>
  <si>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</si>
  <si>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</si>
  <si>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</si>
  <si>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</si>
  <si>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</si>
  <si>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</si>
  <si>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</si>
  <si>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</si>
  <si>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</si>
  <si>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</si>
  <si>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</si>
  <si>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</si>
  <si>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</si>
  <si>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</si>
  <si>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</si>
  <si>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</si>
  <si>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</si>
  <si>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</si>
  <si>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</si>
  <si>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</si>
  <si>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</si>
  <si>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</si>
  <si>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</si>
  <si>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</si>
  <si>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</si>
  <si>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</si>
  <si>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</si>
  <si>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</si>
  <si>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</si>
  <si>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</si>
  <si>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</si>
  <si>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</si>
  <si>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</si>
  <si>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</si>
  <si>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</si>
  <si>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</si>
  <si>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</si>
  <si>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</si>
  <si>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</si>
  <si>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</si>
  <si>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</si>
  <si>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</si>
  <si>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</si>
  <si>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</si>
  <si>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</si>
  <si>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</si>
  <si>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</si>
  <si>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</si>
  <si>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</si>
  <si>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</si>
  <si>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</si>
  <si>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</si>
  <si>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</si>
  <si>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</si>
  <si>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</si>
  <si>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</si>
  <si>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</si>
  <si>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</si>
  <si>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</si>
  <si>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</si>
  <si>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</si>
  <si>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</si>
  <si>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</si>
  <si>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</si>
  <si>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</si>
  <si>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</si>
  <si>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</si>
  <si>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</si>
  <si>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</si>
  <si>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</si>
  <si>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</si>
  <si>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</si>
  <si>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</si>
  <si>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</si>
  <si>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</si>
  <si>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</si>
  <si>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</si>
  <si>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</si>
  <si>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</si>
  <si>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</si>
  <si>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</si>
  <si>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</si>
  <si>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</si>
  <si>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</si>
  <si>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</si>
  <si>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</si>
  <si>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</si>
  <si>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</si>
  <si>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</si>
  <si>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</si>
  <si>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</si>
  <si>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</si>
  <si>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</si>
  <si>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</si>
  <si>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</si>
  <si>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</si>
  <si>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</si>
  <si>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</si>
  <si>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</si>
  <si>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</si>
  <si>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</si>
  <si>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</si>
  <si>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</si>
  <si>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</si>
  <si>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</si>
  <si>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</si>
  <si>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</si>
  <si>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</si>
  <si>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</si>
  <si>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</si>
  <si>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</si>
  <si>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</si>
  <si>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</si>
  <si>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</si>
  <si>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</si>
  <si>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</si>
  <si>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</si>
  <si>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</si>
  <si>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</si>
  <si>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</si>
  <si>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</si>
  <si>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</si>
  <si>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</si>
  <si>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</si>
  <si>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</si>
  <si>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</si>
  <si>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</si>
  <si>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</si>
  <si>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</si>
  <si>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</si>
  <si>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</si>
  <si>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</si>
  <si>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</si>
  <si>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</si>
  <si>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</si>
  <si>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</si>
  <si>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</si>
  <si>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</si>
  <si>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</si>
  <si>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</si>
  <si>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</si>
  <si>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</si>
  <si>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</si>
  <si>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</si>
  <si>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</si>
  <si>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</si>
  <si>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</si>
  <si>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</si>
  <si>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</si>
  <si>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</si>
  <si>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</si>
  <si>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</si>
  <si>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</si>
  <si>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</si>
  <si>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</si>
  <si>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</si>
  <si>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</si>
  <si>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</si>
  <si>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</si>
  <si>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</si>
  <si>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</si>
  <si>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</si>
  <si>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</si>
  <si>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</si>
  <si>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</si>
  <si>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</si>
  <si>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</si>
  <si>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</si>
  <si>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</si>
  <si>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</si>
  <si>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</si>
  <si>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</si>
  <si>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</si>
  <si>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</si>
  <si>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</si>
  <si>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</si>
  <si>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</si>
  <si>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</si>
  <si>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</si>
  <si>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</si>
  <si>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</si>
  <si>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</si>
  <si>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</si>
  <si>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</si>
  <si>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</si>
  <si>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</si>
  <si>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</si>
  <si>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</si>
  <si>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</si>
  <si>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</si>
  <si>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</si>
  <si>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</si>
  <si>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</si>
  <si>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</si>
  <si>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</si>
  <si>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</si>
  <si>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</si>
  <si>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</si>
  <si>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</si>
  <si>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</si>
  <si>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</si>
  <si>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</si>
  <si>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</si>
  <si>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</si>
  <si>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</si>
  <si>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</si>
  <si>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</si>
  <si>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</si>
  <si>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</si>
  <si>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</si>
  <si>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</si>
  <si>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</si>
  <si>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</si>
  <si>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</si>
  <si>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</si>
  <si>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</si>
  <si>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</si>
  <si>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</si>
  <si>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</si>
  <si>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</si>
  <si>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</si>
  <si>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</si>
  <si>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</si>
  <si>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</si>
  <si>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</si>
  <si>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</si>
  <si>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</si>
  <si>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</si>
  <si>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</si>
  <si>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</si>
  <si>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</si>
  <si>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</si>
  <si>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</si>
  <si>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</si>
  <si>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</si>
  <si>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</si>
  <si>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</si>
  <si>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</si>
  <si>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</si>
  <si>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</si>
  <si>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</si>
  <si>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</si>
  <si>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</si>
  <si>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</si>
  <si>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</si>
  <si>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</si>
  <si>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</si>
  <si>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</si>
  <si>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</si>
  <si>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</si>
  <si>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</si>
  <si>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</si>
  <si>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</si>
  <si>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</si>
  <si>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</si>
  <si>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</si>
  <si>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</si>
  <si>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</si>
  <si>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</si>
  <si>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</si>
  <si>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</si>
  <si>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</si>
  <si>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</si>
  <si>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</si>
  <si>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</si>
  <si>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</si>
  <si>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</si>
  <si>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</si>
  <si>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</si>
  <si>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</si>
  <si>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</si>
  <si>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</si>
  <si>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</si>
  <si>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</si>
  <si>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</si>
  <si>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</si>
  <si>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</si>
  <si>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</si>
  <si>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</si>
  <si>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</si>
  <si>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</si>
  <si>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</si>
  <si>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</si>
  <si>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</si>
  <si>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</si>
  <si>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</si>
  <si>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</si>
  <si>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</si>
  <si>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</si>
  <si>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</si>
  <si>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</si>
  <si>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</si>
  <si>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</si>
  <si>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</si>
  <si>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</si>
  <si>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</si>
  <si>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</si>
  <si>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</si>
  <si>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</si>
  <si>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</si>
  <si>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</si>
  <si>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</si>
  <si>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</si>
  <si>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</si>
  <si>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</si>
  <si>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</si>
  <si>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</si>
  <si>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</si>
  <si>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</si>
  <si>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</si>
  <si>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</si>
  <si>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</si>
  <si>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</si>
  <si>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</si>
  <si>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</si>
  <si>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</si>
  <si>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</si>
  <si>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</si>
  <si>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</si>
  <si>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</si>
  <si>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</si>
  <si>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</si>
  <si>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</si>
  <si>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</si>
  <si>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</si>
  <si>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</si>
  <si>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</si>
  <si>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</si>
  <si>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</si>
  <si>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</si>
  <si>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</si>
  <si>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</si>
  <si>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</si>
  <si>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</si>
  <si>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</si>
  <si>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</si>
  <si>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</si>
  <si>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</si>
  <si>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</si>
  <si>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</si>
  <si>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</si>
  <si>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</si>
  <si>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</si>
  <si>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</si>
  <si>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</si>
  <si>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</si>
  <si>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</si>
  <si>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</si>
  <si>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</si>
  <si>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</si>
  <si>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</si>
  <si>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</si>
  <si>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</si>
  <si>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</si>
  <si>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</si>
  <si>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</si>
  <si>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</si>
  <si>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</si>
  <si>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</si>
  <si>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</si>
  <si>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</si>
  <si>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</si>
  <si>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</si>
  <si>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</si>
  <si>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</si>
  <si>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</si>
  <si>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</si>
  <si>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</si>
  <si>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</si>
  <si>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</si>
  <si>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</si>
  <si>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</si>
  <si>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</si>
  <si>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</si>
  <si>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</si>
  <si>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</si>
  <si>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</si>
  <si>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</si>
  <si>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</si>
  <si>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</si>
  <si>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</si>
  <si>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</si>
  <si>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</si>
  <si>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</si>
  <si>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</si>
  <si>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</si>
  <si>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</si>
  <si>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</si>
  <si>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</si>
  <si>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</si>
  <si>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</si>
  <si>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</si>
  <si>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</si>
  <si>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</si>
  <si>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</si>
  <si>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</si>
  <si>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</si>
  <si>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</si>
  <si>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</si>
  <si>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</si>
  <si>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</si>
  <si>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</si>
  <si>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</si>
  <si>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</si>
  <si>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</si>
  <si>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</si>
  <si>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</si>
  <si>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</si>
  <si>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</si>
  <si>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</si>
  <si>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</si>
  <si>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</si>
  <si>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</si>
  <si>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</si>
  <si>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</si>
  <si>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</si>
  <si>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</si>
  <si>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</si>
  <si>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</si>
  <si>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</si>
  <si>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</si>
  <si>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</si>
  <si>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</si>
  <si>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</si>
  <si>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</si>
  <si>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</si>
  <si>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</si>
  <si>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</si>
  <si>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</si>
  <si>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</si>
  <si>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</si>
  <si>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</si>
  <si>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</si>
  <si>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</si>
  <si>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</si>
  <si>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</si>
  <si>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</si>
  <si>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</si>
  <si>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</si>
  <si>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</si>
  <si>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</si>
  <si>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</si>
  <si>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</si>
  <si>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</si>
  <si>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</si>
  <si>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</si>
  <si>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</si>
  <si>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</si>
  <si>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</si>
  <si>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</si>
  <si>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</si>
  <si>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</si>
  <si>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</si>
  <si>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</si>
  <si>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</si>
  <si>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</si>
  <si>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</si>
  <si>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</si>
  <si>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</si>
  <si>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</si>
  <si>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</si>
  <si>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</si>
  <si>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</si>
  <si>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</si>
  <si>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</si>
  <si>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</si>
  <si>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</si>
  <si>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</si>
  <si>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</si>
  <si>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</si>
  <si>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</si>
  <si>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</si>
  <si>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</si>
  <si>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</si>
  <si>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</si>
  <si>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</si>
  <si>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</si>
  <si>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</si>
  <si>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</si>
  <si>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</si>
  <si>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</si>
  <si>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</si>
  <si>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</si>
  <si>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</si>
  <si>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</si>
  <si>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</si>
  <si>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</si>
  <si>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</si>
  <si>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</si>
  <si>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</si>
  <si>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</si>
  <si>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</si>
  <si>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</si>
  <si>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</si>
  <si>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</si>
  <si>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</si>
  <si>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</si>
  <si>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</si>
  <si>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</si>
  <si>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</si>
  <si>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</si>
  <si>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</si>
  <si>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</si>
  <si>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</si>
  <si>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</si>
  <si>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</si>
  <si>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</si>
  <si>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</si>
  <si>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</si>
  <si>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</si>
  <si>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</si>
  <si>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</si>
  <si>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</si>
  <si>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</si>
  <si>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</si>
  <si>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</si>
  <si>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</si>
  <si>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</si>
  <si>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</si>
  <si>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</si>
  <si>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</si>
  <si>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</si>
  <si>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</si>
  <si>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</si>
  <si>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</si>
  <si>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</si>
  <si>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</si>
  <si>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</si>
  <si>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</si>
  <si>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</si>
  <si>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</si>
  <si>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</si>
  <si>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</si>
  <si>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</si>
  <si>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</si>
  <si>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</si>
  <si>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</si>
  <si>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</si>
  <si>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</si>
  <si>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</si>
  <si>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</si>
  <si>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</si>
  <si>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</si>
  <si>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</si>
  <si>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</si>
  <si>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</si>
  <si>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</si>
  <si>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</si>
  <si>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</si>
  <si>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</si>
  <si>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</si>
  <si>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</si>
  <si>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</si>
  <si>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</si>
  <si>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</si>
  <si>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</si>
  <si>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</si>
  <si>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</si>
  <si>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</si>
  <si>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</si>
  <si>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</si>
  <si>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</si>
  <si>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</si>
  <si>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</si>
  <si>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</si>
  <si>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</si>
  <si>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</si>
  <si>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</si>
  <si>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</si>
  <si>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</si>
  <si>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</si>
  <si>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</si>
  <si>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</si>
  <si>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</si>
  <si>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</si>
  <si>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</si>
  <si>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</si>
  <si>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</si>
  <si>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</si>
  <si>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</si>
  <si>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</si>
  <si>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</si>
  <si>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</si>
  <si>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</si>
  <si>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</si>
  <si>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</si>
  <si>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</si>
  <si>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</si>
  <si>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</si>
  <si>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</si>
  <si>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</si>
  <si>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</si>
  <si>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</si>
  <si>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</si>
  <si>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</si>
  <si>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</si>
  <si>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</si>
  <si>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</si>
  <si>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</si>
  <si>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</si>
  <si>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</si>
  <si>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</si>
  <si>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</si>
  <si>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</si>
  <si>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</si>
  <si>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</si>
  <si>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</si>
  <si>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</si>
  <si>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</si>
  <si>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</si>
  <si>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</si>
  <si>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</si>
  <si>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</si>
  <si>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</si>
  <si>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</si>
  <si>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</si>
  <si>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</si>
  <si>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</si>
  <si>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</si>
  <si>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</si>
  <si>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</si>
  <si>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</si>
  <si>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</si>
  <si>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</si>
  <si>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</si>
  <si>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</si>
  <si>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</si>
  <si>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</si>
  <si>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</si>
  <si>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</si>
  <si>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</si>
  <si>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</si>
  <si>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</si>
  <si>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</si>
  <si>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</si>
  <si>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</si>
  <si>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</si>
  <si>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</si>
  <si>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</si>
  <si>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</si>
  <si>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</si>
  <si>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</si>
  <si>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</si>
  <si>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</si>
  <si>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</si>
  <si>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</si>
  <si>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</si>
  <si>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</si>
  <si>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</si>
  <si>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</si>
  <si>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</si>
  <si>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</si>
  <si>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</si>
  <si>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</si>
  <si>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</si>
  <si>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</si>
  <si>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</si>
  <si>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</si>
  <si>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</si>
  <si>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</si>
  <si>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</si>
  <si>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</si>
  <si>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</si>
  <si>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</si>
  <si>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</si>
  <si>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</si>
  <si>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</si>
  <si>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</si>
  <si>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</si>
  <si>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</si>
  <si>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</si>
  <si>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</si>
  <si>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</si>
  <si>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</si>
  <si>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</si>
  <si>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</si>
  <si>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</si>
  <si>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</si>
  <si>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</si>
  <si>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</si>
  <si>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</si>
  <si>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</si>
  <si>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</si>
  <si>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</si>
  <si>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</si>
  <si>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</si>
  <si>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</si>
  <si>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</si>
  <si>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</si>
  <si>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</si>
  <si>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</si>
  <si>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</si>
  <si>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</si>
  <si>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</si>
  <si>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</si>
  <si>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</si>
  <si>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</si>
  <si>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</si>
  <si>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</si>
  <si>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</si>
  <si>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</si>
  <si>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</si>
  <si>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</si>
  <si>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</si>
  <si>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</si>
  <si>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</si>
  <si>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</si>
  <si>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</si>
  <si>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</si>
  <si>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</si>
  <si>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</si>
  <si>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</si>
  <si>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</si>
  <si>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</si>
  <si>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</si>
  <si>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</si>
  <si>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</si>
  <si>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</si>
  <si>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</si>
  <si>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</si>
  <si>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</si>
  <si>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</si>
  <si>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</si>
  <si>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</si>
  <si>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</si>
  <si>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</si>
  <si>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</si>
  <si>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</si>
  <si>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</si>
  <si>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</si>
  <si>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</si>
  <si>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</si>
  <si>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</si>
  <si>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</si>
  <si>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</si>
  <si>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</si>
  <si>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</si>
  <si>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</si>
  <si>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</si>
  <si>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</si>
  <si>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</si>
  <si>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</si>
  <si>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</si>
  <si>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</si>
  <si>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</si>
  <si>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</si>
  <si>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</si>
  <si>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</si>
  <si>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</si>
  <si>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</si>
  <si>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</si>
  <si>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</si>
  <si>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</si>
  <si>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</si>
  <si>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</si>
  <si>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</si>
  <si>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</si>
  <si>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</si>
  <si>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</si>
  <si>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</si>
  <si>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</si>
  <si>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</si>
  <si>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</si>
  <si>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</si>
  <si>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</si>
  <si>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</si>
  <si>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</si>
  <si>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</si>
  <si>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</si>
  <si>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</si>
  <si>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</si>
  <si>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</si>
  <si>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</si>
  <si>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</si>
  <si>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</si>
  <si>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</si>
  <si>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</si>
  <si>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</si>
  <si>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</si>
  <si>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</si>
  <si>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</si>
  <si>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</si>
  <si>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</si>
  <si>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</si>
  <si>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</si>
  <si>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</si>
  <si>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</si>
  <si>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</si>
  <si>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</si>
  <si>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</si>
  <si>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</si>
  <si>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</si>
  <si>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</si>
  <si>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</si>
  <si>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</si>
  <si>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</si>
  <si>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</si>
  <si>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</si>
  <si>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</si>
  <si>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</si>
  <si>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</si>
  <si>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</si>
  <si>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</si>
  <si>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</si>
  <si>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</si>
  <si>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</si>
  <si>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</si>
  <si>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</si>
  <si>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</si>
  <si>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</si>
  <si>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</si>
  <si>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</si>
  <si>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</si>
  <si>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</si>
  <si>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</si>
  <si>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</si>
  <si>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</si>
  <si>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</si>
  <si>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</si>
  <si>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</si>
  <si>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</si>
  <si>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</si>
  <si>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</si>
  <si>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</si>
  <si>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</si>
  <si>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</si>
  <si>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</si>
  <si>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</si>
  <si>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</si>
  <si>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</si>
  <si>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</si>
  <si>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</si>
  <si>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</si>
  <si>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</si>
  <si>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</si>
  <si>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</si>
  <si>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</si>
  <si>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</si>
  <si>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</si>
  <si>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</si>
  <si>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</si>
  <si>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</si>
  <si>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</si>
  <si>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</si>
  <si>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</si>
  <si>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</si>
  <si>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</si>
  <si>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</si>
  <si>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</si>
  <si>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</si>
  <si>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</si>
  <si>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</si>
  <si>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</si>
  <si>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</si>
  <si>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</si>
  <si>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</si>
  <si>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</si>
  <si>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</si>
  <si>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</si>
  <si>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</si>
  <si>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</si>
  <si>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</si>
  <si>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</si>
  <si>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</si>
  <si>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</si>
  <si>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</si>
  <si>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</si>
  <si>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</si>
  <si>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</si>
  <si>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</si>
  <si>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</si>
  <si>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</si>
  <si>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</si>
  <si>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</si>
  <si>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</si>
  <si>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</si>
  <si>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</si>
  <si>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</si>
  <si>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</si>
  <si>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</si>
  <si>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</si>
  <si>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</si>
  <si>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</si>
  <si>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</si>
  <si>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</si>
  <si>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</si>
  <si>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</si>
  <si>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</si>
  <si>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</si>
  <si>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</si>
  <si>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</si>
  <si>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</si>
  <si>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</si>
  <si>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</si>
  <si>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</si>
  <si>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</si>
  <si>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</si>
  <si>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</si>
  <si>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</si>
  <si>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</si>
  <si>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</si>
  <si>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</si>
  <si>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</si>
  <si>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</si>
  <si>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</si>
  <si>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</si>
  <si>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</si>
  <si>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</si>
  <si>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</si>
  <si>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</si>
  <si>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</si>
  <si>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</si>
  <si>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</si>
  <si>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</si>
  <si>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</si>
  <si>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</si>
  <si>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</si>
  <si>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</si>
  <si>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</si>
  <si>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</si>
  <si>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</si>
  <si>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</si>
  <si>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</si>
  <si>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</si>
  <si>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</si>
  <si>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</si>
  <si>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</si>
  <si>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</si>
  <si>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</si>
  <si>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</si>
  <si>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</si>
  <si>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</si>
  <si>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</si>
  <si>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</si>
  <si>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</si>
  <si>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</si>
  <si>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</si>
  <si>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</si>
  <si>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</si>
  <si>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</si>
  <si>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</si>
  <si>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</si>
  <si>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</si>
  <si>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</si>
  <si>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</si>
  <si>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</si>
  <si>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</si>
  <si>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</si>
  <si>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</si>
  <si>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</si>
  <si>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</si>
  <si>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</si>
  <si>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</si>
  <si>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</si>
  <si>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</si>
  <si>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</si>
  <si>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</si>
  <si>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</si>
  <si>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</si>
  <si>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</si>
  <si>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</si>
  <si>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</si>
  <si>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</si>
  <si>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</si>
  <si>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</si>
  <si>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</si>
  <si>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</si>
  <si>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</si>
  <si>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</si>
  <si>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</si>
  <si>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</si>
  <si>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</si>
  <si>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</si>
  <si>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</si>
  <si>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</si>
  <si>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</si>
  <si>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</si>
  <si>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</si>
  <si>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</si>
  <si>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</si>
  <si>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</si>
  <si>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</si>
  <si>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</si>
  <si>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</si>
  <si>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</si>
  <si>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</si>
  <si>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</si>
  <si>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</si>
  <si>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</si>
  <si>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</si>
  <si>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</si>
  <si>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</si>
  <si>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</si>
  <si>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</si>
  <si>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</si>
  <si>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</si>
  <si>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</si>
  <si>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</si>
  <si>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</si>
  <si>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</si>
  <si>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</si>
  <si>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</si>
  <si>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</si>
  <si>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</si>
  <si>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</si>
  <si>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</si>
  <si>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</si>
  <si>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</si>
  <si>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</si>
  <si>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</si>
  <si>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</si>
  <si>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</si>
  <si>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</si>
  <si>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</si>
  <si>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</si>
  <si>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</si>
  <si>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</si>
  <si>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</si>
  <si>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</si>
  <si>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</si>
  <si>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</si>
  <si>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</si>
  <si>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</si>
  <si>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</si>
  <si>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</si>
  <si>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</si>
  <si>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</si>
  <si>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</si>
  <si>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</si>
  <si>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</si>
  <si>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</si>
  <si>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</si>
  <si>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</si>
  <si>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</si>
  <si>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</si>
  <si>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</si>
  <si>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</si>
  <si>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</si>
  <si>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</si>
  <si>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</si>
  <si>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</si>
  <si>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</si>
  <si>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</si>
  <si>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</si>
  <si>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</si>
  <si>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</si>
  <si>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</si>
  <si>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</si>
  <si>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</si>
  <si>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</si>
  <si>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</si>
  <si>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</si>
  <si>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</si>
  <si>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</si>
  <si>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</si>
  <si>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</si>
  <si>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</si>
  <si>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</si>
  <si>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</si>
  <si>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</si>
  <si>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</si>
  <si>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</si>
  <si>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</si>
  <si>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</si>
  <si>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</si>
  <si>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</si>
  <si>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</si>
  <si>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</si>
  <si>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</si>
  <si>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</si>
  <si>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</si>
  <si>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</si>
  <si>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</si>
  <si>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</si>
  <si>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</si>
  <si>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</si>
  <si>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</si>
  <si>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</si>
  <si>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</si>
  <si>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</si>
  <si>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</si>
  <si>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</si>
  <si>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</si>
  <si>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</si>
  <si>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</si>
  <si>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</si>
  <si>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</si>
  <si>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</si>
  <si>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</si>
  <si>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</si>
  <si>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</si>
  <si>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</si>
  <si>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</si>
  <si>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</si>
  <si>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</si>
  <si>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</si>
  <si>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</si>
  <si>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</si>
  <si>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</si>
  <si>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</si>
  <si>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</si>
  <si>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</si>
  <si>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</si>
  <si>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</si>
  <si>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</si>
  <si>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</si>
  <si>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</si>
  <si>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</si>
  <si>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</si>
  <si>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</si>
  <si>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</si>
  <si>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</si>
  <si>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</si>
  <si>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</si>
  <si>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</si>
  <si>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</si>
  <si>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</si>
  <si>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</si>
  <si>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</si>
  <si>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</si>
  <si>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</si>
  <si>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</si>
  <si>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</si>
  <si>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</si>
  <si>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</si>
  <si>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</si>
  <si>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</si>
  <si>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</si>
  <si>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</si>
  <si>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</si>
  <si>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</si>
  <si>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</si>
  <si>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</si>
  <si>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</si>
  <si>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</si>
  <si>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</si>
  <si>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</si>
  <si>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</si>
  <si>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</si>
  <si>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</si>
  <si>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</si>
  <si>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</si>
  <si>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</si>
  <si>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</si>
  <si>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</si>
  <si>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</si>
  <si>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</si>
  <si>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</si>
  <si>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</si>
  <si>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</si>
  <si>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</si>
  <si>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</si>
  <si>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</si>
  <si>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</si>
  <si>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</si>
  <si>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</si>
  <si>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</si>
  <si>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</si>
  <si>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</si>
  <si>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</si>
  <si>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</si>
  <si>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</si>
  <si>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</si>
  <si>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</si>
  <si>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</si>
  <si>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</si>
  <si>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</si>
  <si>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</si>
  <si>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</si>
  <si>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</si>
  <si>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</si>
  <si>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</si>
  <si>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</si>
  <si>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</si>
  <si>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</si>
  <si>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</si>
  <si>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</si>
  <si>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</si>
  <si>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</si>
  <si>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</si>
  <si>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</si>
  <si>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</si>
  <si>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</si>
  <si>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</si>
  <si>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</si>
  <si>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</si>
  <si>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</si>
  <si>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</si>
  <si>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</si>
  <si>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</si>
  <si>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</si>
  <si>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</si>
  <si>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</si>
  <si>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</si>
  <si>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</si>
  <si>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</si>
  <si>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</si>
  <si>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</si>
  <si>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</si>
  <si>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</si>
  <si>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</si>
  <si>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</si>
  <si>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</si>
  <si>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</si>
  <si>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</si>
  <si>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</si>
  <si>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</si>
  <si>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</si>
  <si>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</si>
  <si>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</si>
  <si>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</si>
  <si>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</si>
  <si>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</si>
  <si>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</si>
  <si>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</si>
  <si>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</si>
  <si>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</si>
  <si>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</si>
  <si>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</si>
  <si>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</si>
  <si>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</si>
  <si>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</si>
  <si>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</si>
  <si>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</si>
  <si>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</si>
  <si>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</si>
  <si>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</si>
  <si>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</si>
  <si>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</si>
  <si>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</si>
  <si>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</si>
  <si>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</si>
  <si>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</si>
  <si>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</si>
  <si>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</si>
  <si>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</si>
  <si>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</si>
  <si>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</si>
  <si>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</si>
  <si>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</si>
  <si>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</si>
  <si>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</si>
  <si>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</si>
  <si>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</si>
  <si>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</si>
  <si>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</si>
  <si>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</si>
  <si>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</si>
  <si>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</si>
  <si>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</si>
  <si>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</si>
  <si>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</si>
  <si>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</si>
  <si>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</si>
  <si>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</si>
  <si>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</si>
  <si>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</si>
  <si>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</si>
  <si>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</si>
  <si>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</si>
  <si>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</si>
  <si>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</si>
  <si>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</si>
  <si>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</si>
  <si>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</si>
  <si>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</si>
  <si>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</si>
  <si>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</si>
  <si>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</si>
  <si>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</si>
  <si>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</si>
  <si>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</si>
  <si>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</si>
  <si>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</si>
  <si>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</si>
  <si>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</si>
  <si>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</si>
  <si>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</si>
  <si>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</si>
  <si>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</si>
  <si>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</si>
  <si>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</si>
  <si>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</si>
  <si>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</si>
  <si>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</si>
  <si>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</si>
  <si>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</si>
  <si>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</si>
  <si>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</si>
  <si>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</si>
  <si>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</si>
  <si>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</si>
  <si>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</si>
  <si>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</si>
  <si>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</si>
  <si>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</si>
  <si>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</si>
  <si>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</si>
  <si>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</si>
  <si>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</si>
  <si>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</si>
  <si>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</si>
  <si>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</si>
  <si>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</si>
  <si>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</si>
  <si>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</si>
  <si>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</si>
  <si>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</si>
  <si>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</si>
  <si>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</si>
  <si>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</si>
  <si>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</si>
  <si>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</si>
  <si>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</si>
  <si>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</si>
  <si>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</si>
  <si>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</si>
  <si>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</si>
  <si>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</si>
  <si>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</si>
  <si>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</si>
  <si>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</si>
  <si>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</si>
  <si>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</si>
  <si>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</si>
  <si>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</si>
  <si>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</si>
  <si>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</si>
  <si>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</si>
  <si>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</si>
  <si>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</si>
  <si>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</si>
  <si>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</si>
  <si>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</si>
  <si>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</si>
  <si>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</si>
  <si>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</si>
  <si>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</si>
  <si>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</si>
  <si>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</si>
  <si>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</si>
  <si>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</si>
  <si>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</si>
  <si>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</si>
  <si>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</si>
  <si>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</si>
  <si>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</si>
  <si>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</si>
  <si>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</si>
  <si>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</si>
  <si>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</si>
  <si>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</si>
  <si>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</si>
  <si>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</si>
  <si>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</si>
  <si>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</si>
  <si>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</si>
  <si>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</si>
  <si>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</si>
  <si>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</si>
  <si>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</si>
  <si>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</si>
  <si>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</si>
  <si>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</si>
  <si>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</si>
  <si>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</si>
  <si>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</si>
  <si>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</si>
  <si>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</si>
  <si>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</si>
  <si>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</si>
  <si>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</si>
  <si>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</si>
  <si>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</si>
  <si>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</si>
  <si>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</si>
  <si>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</si>
  <si>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</si>
  <si>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</si>
  <si>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</si>
  <si>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</si>
  <si>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</si>
  <si>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</si>
  <si>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</si>
  <si>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</si>
  <si>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</si>
  <si>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</si>
  <si>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</si>
  <si>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</si>
  <si>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</si>
  <si>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</si>
  <si>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</si>
  <si>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</si>
  <si>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</si>
  <si>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</si>
  <si>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</si>
  <si>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</si>
  <si>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</si>
  <si>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</si>
  <si>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</si>
  <si>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</si>
  <si>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</si>
  <si>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</si>
  <si>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</si>
  <si>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</si>
  <si>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</si>
  <si>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</si>
  <si>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</si>
  <si>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</si>
  <si>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</si>
  <si>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</si>
  <si>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</si>
  <si>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</si>
  <si>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</si>
  <si>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</si>
  <si>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</si>
  <si>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</si>
  <si>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</si>
  <si>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</si>
  <si>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</si>
  <si>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</si>
  <si>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</si>
  <si>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</si>
  <si>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</si>
  <si>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</si>
  <si>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</si>
  <si>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</si>
  <si>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</si>
  <si>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</si>
  <si>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</si>
  <si>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</si>
  <si>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</si>
  <si>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</si>
  <si>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</si>
  <si>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</si>
  <si>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</si>
  <si>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</si>
  <si>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</si>
  <si>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</si>
  <si>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</si>
  <si>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</si>
  <si>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</si>
  <si>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</si>
  <si>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</si>
  <si>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</si>
  <si>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</si>
  <si>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</si>
  <si>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</si>
  <si>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</si>
  <si>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</si>
  <si>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</si>
  <si>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</si>
  <si>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</si>
  <si>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</si>
  <si>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</si>
  <si>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</si>
  <si>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</si>
  <si>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</si>
  <si>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</si>
  <si>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</si>
  <si>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</si>
  <si>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</si>
  <si>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</si>
  <si>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</si>
  <si>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</si>
  <si>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</si>
  <si>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</si>
  <si>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</si>
  <si>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</si>
  <si>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</si>
  <si>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</si>
  <si>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</si>
  <si>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</si>
  <si>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</si>
  <si>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</si>
  <si>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</si>
  <si>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</si>
  <si>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</si>
  <si>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</si>
  <si>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</si>
  <si>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</si>
  <si>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</si>
  <si>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</si>
  <si>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</si>
  <si>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</si>
  <si>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</si>
  <si>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</si>
  <si>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</si>
  <si>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</si>
  <si>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</si>
  <si>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</si>
  <si>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</si>
  <si>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</si>
  <si>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</si>
  <si>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</si>
  <si>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</si>
  <si>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</si>
  <si>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</si>
  <si>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</si>
  <si>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</si>
  <si>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</si>
  <si>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</si>
  <si>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</si>
  <si>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</si>
  <si>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</si>
  <si>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</si>
  <si>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</si>
  <si>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</si>
  <si>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</si>
  <si>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</si>
  <si>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</si>
  <si>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</si>
  <si>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</si>
  <si>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</si>
  <si>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</si>
  <si>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</si>
  <si>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</si>
  <si>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</si>
  <si>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</si>
  <si>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</si>
  <si>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</si>
  <si>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</si>
  <si>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</si>
  <si>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</si>
  <si>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</si>
  <si>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</si>
  <si>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</si>
  <si>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</si>
  <si>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</si>
  <si>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</si>
  <si>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</si>
  <si>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</si>
  <si>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</si>
  <si>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</si>
  <si>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</si>
  <si>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</si>
  <si>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</si>
  <si>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</si>
  <si>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</si>
  <si>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</si>
  <si>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</si>
  <si>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</si>
  <si>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</si>
  <si>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</si>
  <si>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</si>
  <si>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</si>
  <si>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</si>
  <si>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</si>
  <si>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</si>
  <si>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</si>
  <si>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</si>
  <si>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</si>
  <si>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</si>
  <si>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</si>
  <si>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</si>
  <si>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</si>
  <si>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</si>
  <si>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</si>
  <si>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</si>
  <si>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</si>
  <si>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</si>
  <si>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</si>
  <si>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</si>
  <si>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</si>
  <si>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</si>
  <si>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</si>
  <si>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</si>
  <si>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</si>
  <si>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</si>
  <si>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</si>
  <si>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</si>
  <si>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</si>
  <si>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</si>
  <si>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</si>
  <si>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</si>
  <si>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</si>
  <si>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</si>
  <si>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</si>
  <si>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</si>
  <si>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</si>
  <si>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</si>
  <si>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</si>
  <si>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</si>
  <si>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</si>
  <si>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</si>
  <si>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</si>
  <si>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</si>
  <si>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</si>
  <si>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</si>
  <si>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</si>
  <si>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</si>
  <si>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</si>
  <si>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</si>
  <si>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</si>
  <si>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</si>
  <si>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</si>
  <si>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</si>
  <si>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</si>
  <si>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</si>
  <si>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</si>
  <si>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</si>
  <si>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</si>
  <si>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</si>
  <si>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</si>
  <si>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</si>
  <si>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</si>
  <si>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</si>
  <si>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</si>
  <si>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</si>
  <si>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</si>
  <si>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</si>
  <si>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</si>
  <si>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</si>
  <si>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</si>
  <si>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</si>
  <si>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</si>
  <si>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</si>
  <si>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</si>
  <si>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</si>
  <si>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</si>
  <si>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</si>
  <si>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</si>
  <si>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</si>
  <si>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</si>
  <si>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</si>
  <si>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</si>
  <si>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</si>
  <si>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</si>
  <si>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</si>
  <si>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</si>
  <si>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</si>
  <si>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</si>
  <si>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</si>
  <si>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</si>
  <si>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</si>
  <si>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</si>
  <si>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</si>
  <si>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</si>
  <si>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</si>
  <si>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</si>
  <si>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</si>
  <si>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</si>
  <si>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</si>
  <si>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</si>
  <si>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</si>
  <si>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</si>
  <si>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</si>
  <si>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</si>
  <si>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</si>
  <si>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</si>
  <si>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</si>
  <si>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</si>
  <si>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</si>
  <si>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</si>
  <si>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</si>
  <si>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</si>
  <si>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</si>
  <si>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</si>
  <si>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</si>
  <si>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</si>
  <si>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</si>
  <si>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</si>
  <si>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</si>
  <si>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</si>
  <si>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</si>
  <si>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</si>
  <si>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</si>
  <si>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</si>
  <si>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</si>
  <si>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</si>
  <si>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</si>
  <si>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</si>
  <si>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</si>
  <si>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</si>
  <si>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</si>
  <si>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</si>
  <si>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</si>
  <si>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</si>
  <si>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</si>
  <si>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</si>
  <si>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</si>
  <si>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</si>
  <si>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</si>
  <si>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</si>
  <si>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</si>
  <si>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</si>
  <si>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</si>
  <si>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</si>
  <si>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</si>
  <si>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</si>
  <si>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</si>
  <si>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</si>
  <si>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</si>
  <si>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</si>
  <si>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</si>
  <si>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</si>
  <si>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</si>
  <si>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</si>
  <si>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</si>
  <si>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</si>
  <si>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</si>
  <si>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</si>
  <si>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</si>
  <si>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</si>
  <si>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</si>
  <si>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</si>
  <si>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</si>
  <si>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</si>
  <si>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</si>
  <si>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</si>
  <si>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</si>
  <si>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</si>
  <si>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</si>
  <si>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</si>
  <si>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</si>
  <si>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</si>
  <si>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</si>
  <si>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</si>
  <si>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</si>
  <si>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</si>
  <si>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</si>
  <si>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</si>
  <si>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</si>
  <si>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</si>
  <si>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</si>
  <si>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</si>
  <si>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</si>
  <si>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</si>
  <si>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</si>
  <si>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</si>
  <si>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</si>
  <si>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</si>
  <si>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</si>
  <si>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</si>
  <si>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</si>
  <si>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</si>
  <si>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</si>
  <si>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</si>
  <si>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</si>
  <si>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</si>
  <si>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</si>
  <si>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</si>
  <si>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</si>
  <si>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</si>
  <si>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</si>
  <si>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</si>
  <si>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</si>
  <si>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</si>
  <si>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</si>
  <si>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</si>
  <si>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</si>
  <si>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</si>
  <si>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</si>
  <si>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</si>
  <si>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</si>
  <si>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</si>
  <si>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</si>
  <si>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</si>
  <si>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</si>
  <si>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</si>
  <si>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</si>
  <si>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</si>
  <si>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</si>
  <si>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</si>
  <si>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</si>
  <si>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</si>
  <si>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</si>
  <si>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</si>
  <si>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</si>
  <si>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</si>
  <si>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</si>
  <si>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</si>
  <si>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</si>
  <si>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</si>
  <si>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</si>
  <si>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</si>
  <si>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</si>
  <si>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</si>
  <si>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</si>
  <si>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</si>
  <si>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</si>
  <si>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</si>
  <si>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</si>
  <si>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</si>
  <si>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</si>
  <si>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</si>
  <si>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</si>
  <si>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</si>
  <si>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</si>
  <si>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</si>
  <si>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</si>
  <si>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</si>
  <si>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</si>
  <si>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</si>
  <si>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</si>
  <si>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</si>
  <si>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</si>
  <si>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</si>
  <si>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</si>
  <si>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</si>
  <si>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</si>
  <si>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</si>
  <si>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</si>
  <si>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</si>
  <si>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</si>
  <si>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</si>
  <si>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</si>
  <si>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</si>
  <si>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</si>
  <si>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</si>
  <si>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</si>
  <si>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</si>
  <si>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</si>
  <si>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</si>
  <si>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</si>
  <si>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</si>
  <si>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</si>
  <si>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</si>
  <si>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</si>
  <si>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</si>
  <si>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</si>
  <si>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</si>
  <si>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</si>
  <si>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</si>
  <si>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</si>
  <si>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</si>
  <si>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</si>
  <si>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</si>
  <si>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</si>
  <si>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</si>
  <si>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</si>
  <si>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</si>
  <si>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</si>
  <si>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</si>
  <si>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</si>
  <si>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</si>
  <si>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</si>
  <si>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</si>
  <si>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</si>
  <si>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</si>
  <si>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</si>
  <si>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</si>
  <si>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</si>
  <si>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</si>
  <si>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</si>
  <si>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</si>
  <si>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</si>
  <si>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</si>
  <si>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</si>
  <si>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</si>
  <si>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</si>
  <si>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</si>
  <si>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</si>
  <si>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</si>
  <si>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</si>
  <si>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</si>
  <si>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</si>
  <si>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</si>
  <si>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</si>
  <si>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</si>
  <si>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</si>
  <si>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</si>
  <si>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</si>
  <si>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</si>
  <si>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</si>
  <si>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</si>
  <si>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</si>
  <si>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</si>
  <si>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</si>
  <si>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</si>
  <si>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</si>
  <si>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</si>
  <si>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</si>
  <si>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</si>
  <si>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</si>
  <si>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</si>
  <si>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</si>
  <si>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</si>
  <si>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</si>
  <si>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</si>
  <si>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</si>
  <si>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</si>
  <si>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</si>
  <si>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</si>
  <si>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</si>
  <si>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</si>
  <si>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</si>
  <si>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</si>
  <si>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</si>
  <si>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</si>
  <si>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</si>
  <si>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</si>
  <si>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</si>
  <si>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</si>
  <si>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</si>
  <si>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</si>
  <si>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</si>
  <si>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</si>
  <si>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</si>
  <si>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</si>
  <si>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</si>
  <si>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</si>
  <si>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</si>
  <si>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</si>
  <si>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</si>
  <si>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</si>
  <si>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</si>
  <si>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</si>
  <si>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</si>
  <si>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</si>
  <si>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</si>
  <si>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</si>
  <si>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</si>
  <si>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</si>
  <si>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</si>
  <si>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</si>
  <si>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</si>
  <si>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</si>
  <si>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</si>
  <si>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</si>
  <si>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</si>
  <si>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</si>
  <si>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</si>
  <si>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</si>
  <si>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</si>
  <si>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</si>
  <si>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</si>
  <si>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</si>
  <si>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</si>
  <si>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</si>
  <si>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</si>
  <si>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</si>
  <si>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</si>
  <si>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</si>
  <si>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</si>
  <si>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</si>
  <si>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</si>
  <si>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</si>
  <si>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</si>
  <si>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</si>
  <si>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</si>
  <si>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</si>
  <si>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</si>
  <si>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</si>
  <si>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</si>
  <si>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</si>
  <si>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</si>
  <si>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</si>
  <si>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</si>
  <si>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</si>
  <si>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</si>
  <si>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</si>
  <si>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</si>
  <si>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</si>
  <si>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</si>
  <si>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</si>
  <si>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</si>
  <si>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</si>
  <si>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</si>
  <si>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</si>
  <si>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</si>
  <si>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</si>
  <si>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</si>
  <si>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</si>
  <si>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</si>
  <si>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</si>
  <si>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</si>
  <si>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</si>
  <si>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</si>
  <si>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</si>
  <si>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</si>
  <si>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</si>
  <si>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</si>
  <si>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</si>
  <si>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</si>
  <si>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</si>
  <si>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</si>
  <si>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</si>
  <si>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</si>
  <si>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</si>
  <si>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</si>
  <si>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</si>
  <si>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</si>
  <si>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</si>
  <si>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</si>
  <si>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</si>
  <si>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</si>
  <si>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</si>
  <si>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</si>
  <si>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</si>
  <si>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</si>
  <si>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</si>
  <si>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</si>
  <si>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</si>
  <si>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</si>
  <si>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</si>
  <si>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</si>
  <si>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</si>
  <si>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</si>
  <si>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</si>
  <si>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</si>
  <si>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</si>
  <si>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</si>
  <si>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</si>
  <si>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</si>
  <si>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</si>
  <si>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</si>
  <si>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</si>
  <si>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</si>
  <si>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</si>
  <si>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</si>
  <si>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</si>
  <si>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</si>
  <si>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</si>
  <si>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</si>
  <si>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</si>
  <si>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</si>
  <si>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</si>
  <si>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</si>
  <si>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</si>
  <si>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</si>
  <si>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</si>
  <si>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</si>
  <si>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</si>
  <si>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</si>
  <si>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</si>
  <si>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</si>
  <si>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</si>
  <si>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</si>
  <si>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</si>
  <si>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</si>
  <si>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</si>
  <si>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</si>
  <si>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</si>
  <si>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</si>
  <si>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</si>
  <si>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</si>
  <si>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</si>
  <si>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</si>
  <si>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</si>
  <si>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</si>
  <si>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</si>
  <si>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</si>
  <si>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</si>
  <si>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</si>
  <si>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</si>
  <si>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</si>
  <si>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</si>
  <si>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</si>
  <si>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</si>
  <si>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</si>
  <si>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</si>
  <si>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</si>
  <si>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</si>
  <si>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</si>
  <si>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</si>
  <si>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</si>
  <si>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</si>
  <si>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</si>
  <si>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</si>
  <si>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</si>
  <si>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</si>
  <si>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</si>
  <si>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</si>
  <si>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</si>
  <si>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</si>
  <si>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</si>
  <si>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</si>
  <si>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</si>
  <si>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</si>
  <si>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</si>
  <si>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</si>
  <si>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</si>
  <si>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</si>
  <si>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</si>
  <si>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</si>
  <si>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</si>
  <si>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</si>
  <si>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</si>
  <si>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</si>
  <si>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</si>
  <si>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</si>
  <si>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</si>
  <si>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</si>
  <si>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</si>
  <si>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</si>
  <si>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</si>
  <si>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</si>
  <si>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</si>
  <si>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</si>
  <si>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</si>
  <si>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</si>
  <si>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</si>
  <si>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</si>
  <si>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</si>
  <si>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</si>
  <si>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</si>
  <si>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</si>
  <si>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</si>
  <si>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</si>
  <si>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</si>
  <si>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</si>
  <si>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</si>
  <si>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</si>
  <si>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</si>
  <si>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</si>
  <si>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</si>
  <si>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</si>
  <si>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</si>
  <si>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</si>
  <si>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</si>
  <si>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</si>
  <si>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</si>
  <si>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</si>
  <si>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</si>
  <si>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</si>
  <si>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</si>
  <si>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</si>
  <si>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</si>
  <si>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</si>
  <si>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</si>
  <si>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</si>
  <si>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</si>
  <si>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</si>
  <si>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</si>
  <si>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</si>
  <si>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</si>
  <si>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</si>
  <si>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</si>
  <si>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</si>
  <si>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</si>
  <si>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</si>
  <si>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</si>
  <si>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</si>
  <si>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</si>
  <si>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</si>
  <si>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</si>
  <si>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</si>
  <si>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</si>
  <si>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</si>
  <si>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</si>
  <si>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</si>
  <si>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</si>
  <si>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</si>
  <si>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</si>
  <si>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</si>
  <si>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</si>
  <si>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</si>
  <si>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</si>
  <si>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</si>
  <si>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</si>
  <si>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</si>
  <si>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</si>
  <si>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</si>
  <si>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</si>
  <si>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</si>
  <si>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</si>
  <si>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</si>
  <si>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</si>
  <si>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</si>
  <si>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</si>
  <si>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</si>
  <si>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</si>
  <si>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</si>
  <si>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</si>
  <si>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</si>
  <si>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</si>
  <si>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</si>
  <si>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</si>
  <si>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</si>
  <si>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</si>
  <si>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</si>
  <si>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</si>
  <si>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</si>
  <si>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</si>
  <si>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</si>
  <si>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</si>
  <si>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</si>
  <si>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</si>
  <si>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</si>
  <si>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</si>
  <si>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</si>
  <si>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</si>
  <si>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</si>
  <si>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</si>
  <si>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</si>
  <si>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</si>
  <si>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</si>
  <si>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</si>
  <si>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</si>
  <si>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</si>
  <si>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</si>
  <si>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</si>
  <si>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</si>
  <si>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</si>
  <si>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</si>
  <si>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</si>
  <si>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</si>
  <si>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</si>
  <si>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</si>
  <si>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</si>
  <si>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</si>
  <si>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</si>
  <si>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</si>
  <si>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</si>
  <si>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</si>
  <si>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</si>
  <si>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</si>
  <si>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</si>
  <si>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</si>
  <si>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</si>
  <si>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</si>
  <si>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</si>
  <si>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</si>
  <si>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</si>
  <si>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</si>
  <si>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</si>
  <si>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</si>
  <si>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</si>
  <si>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</si>
  <si>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</si>
  <si>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</si>
  <si>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</si>
  <si>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</si>
  <si>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</si>
  <si>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</si>
  <si>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</si>
  <si>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</si>
  <si>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</si>
  <si>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</si>
  <si>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</si>
  <si>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</si>
  <si>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</si>
  <si>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</si>
  <si>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</si>
  <si>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</si>
  <si>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</si>
  <si>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</si>
  <si>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</si>
  <si>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</si>
  <si>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</si>
  <si>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</si>
  <si>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</si>
  <si>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</si>
  <si>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</si>
  <si>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</si>
  <si>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</si>
  <si>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</si>
  <si>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</si>
  <si>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</si>
  <si>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</si>
  <si>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</si>
  <si>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</si>
  <si>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</si>
  <si>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</si>
  <si>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</si>
  <si>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</si>
  <si>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</si>
  <si>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</si>
  <si>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</si>
  <si>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</si>
  <si>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</si>
  <si>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</si>
  <si>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</si>
  <si>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</si>
  <si>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</si>
  <si>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</si>
  <si>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</si>
  <si>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</si>
  <si>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</si>
  <si>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</si>
  <si>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</si>
  <si>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</si>
  <si>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</si>
  <si>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</si>
  <si>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</si>
  <si>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</si>
  <si>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</si>
  <si>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</si>
  <si>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</si>
  <si>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</si>
  <si>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</si>
  <si>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</si>
  <si>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</si>
  <si>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</si>
  <si>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</si>
  <si>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</si>
  <si>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</si>
  <si>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</si>
  <si>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</si>
  <si>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</si>
  <si>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</si>
  <si>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</si>
  <si>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</si>
  <si>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</si>
  <si>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</si>
  <si>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</si>
  <si>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</si>
  <si>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</si>
  <si>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</si>
  <si>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</si>
  <si>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</si>
  <si>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</si>
  <si>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</si>
  <si>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</si>
  <si>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</si>
  <si>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</si>
  <si>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</si>
  <si>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</si>
  <si>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</si>
  <si>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</si>
  <si>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</si>
  <si>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</si>
  <si>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</si>
  <si>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</si>
  <si>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</si>
  <si>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</si>
  <si>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</si>
  <si>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</si>
  <si>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</si>
  <si>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</si>
  <si>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</si>
  <si>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</si>
  <si>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</si>
  <si>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</si>
  <si>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</si>
  <si>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</si>
  <si>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</si>
  <si>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</si>
  <si>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</si>
  <si>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</si>
  <si>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</si>
  <si>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</si>
  <si>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</si>
  <si>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</si>
  <si>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</si>
  <si>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</si>
  <si>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</si>
  <si>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</si>
  <si>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</si>
  <si>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</si>
  <si>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</si>
  <si>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</si>
  <si>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</si>
  <si>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</si>
  <si>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</si>
  <si>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</si>
  <si>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</si>
  <si>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</si>
  <si>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</si>
  <si>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</si>
  <si>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</si>
  <si>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</si>
  <si>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</si>
  <si>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</si>
  <si>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</si>
  <si>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</si>
  <si>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</si>
  <si>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</si>
  <si>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</si>
  <si>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</si>
  <si>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</si>
  <si>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</si>
  <si>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</si>
  <si>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</si>
  <si>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</si>
  <si>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</si>
  <si>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</si>
  <si>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</si>
  <si>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</si>
  <si>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</si>
  <si>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</si>
  <si>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</si>
  <si>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</si>
  <si>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</si>
  <si>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</si>
  <si>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</si>
  <si>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</si>
  <si>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</si>
  <si>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</si>
  <si>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</si>
  <si>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</si>
  <si>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</si>
  <si>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</si>
  <si>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</si>
  <si>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</si>
  <si>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</si>
  <si>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</si>
  <si>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</si>
  <si>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</si>
  <si>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</si>
  <si>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</si>
  <si>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</si>
  <si>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</si>
  <si>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</si>
  <si>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</si>
  <si>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</si>
  <si>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</si>
  <si>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</si>
  <si>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</si>
  <si>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</si>
  <si>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</si>
  <si>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</si>
  <si>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</si>
  <si>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</si>
  <si>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</si>
  <si>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</si>
  <si>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</si>
  <si>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</si>
  <si>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</si>
  <si>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</si>
  <si>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</si>
  <si>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</si>
  <si>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</si>
  <si>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</si>
  <si>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</si>
  <si>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</si>
  <si>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</si>
  <si>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</si>
  <si>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</si>
  <si>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</si>
  <si>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</si>
  <si>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</si>
  <si>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</si>
  <si>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</si>
  <si>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</si>
  <si>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</si>
  <si>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</si>
  <si>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</si>
  <si>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</si>
  <si>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</si>
  <si>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</si>
  <si>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</si>
  <si>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</si>
  <si>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</si>
  <si>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</si>
  <si>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</si>
  <si>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</si>
  <si>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</si>
  <si>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</si>
  <si>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</si>
  <si>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</si>
  <si>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</si>
  <si>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</si>
  <si>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</si>
  <si>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</si>
  <si>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</si>
  <si>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</si>
  <si>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</si>
  <si>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</si>
  <si>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</si>
  <si>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</si>
  <si>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</si>
  <si>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</si>
  <si>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</si>
  <si>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</si>
  <si>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</si>
  <si>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</si>
  <si>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</si>
  <si>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</si>
  <si>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</si>
  <si>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</si>
  <si>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</si>
  <si>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</si>
  <si>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</si>
  <si>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</si>
  <si>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</si>
  <si>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</si>
  <si>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</si>
  <si>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</si>
  <si>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</si>
  <si>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</si>
  <si>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</si>
  <si>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</si>
  <si>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</si>
  <si>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</si>
  <si>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</si>
  <si>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</si>
  <si>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</si>
  <si>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</si>
  <si>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</si>
  <si>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</si>
  <si>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</si>
  <si>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</si>
  <si>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</si>
  <si>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</si>
  <si>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</si>
  <si>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</si>
  <si>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</si>
  <si>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</si>
  <si>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</si>
  <si>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</si>
  <si>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</si>
  <si>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</si>
  <si>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</si>
  <si>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</si>
  <si>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</si>
  <si>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</si>
  <si>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</si>
  <si>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</si>
  <si>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</si>
  <si>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</si>
  <si>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</si>
  <si>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</si>
  <si>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</si>
  <si>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</si>
  <si>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</si>
  <si>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</si>
  <si>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</si>
  <si>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</si>
  <si>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</si>
  <si>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</si>
  <si>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</si>
  <si>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</si>
  <si>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</si>
  <si>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</si>
  <si>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</si>
  <si>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</si>
  <si>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</si>
  <si>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</si>
  <si>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</si>
  <si>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</si>
  <si>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</si>
  <si>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</si>
  <si>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</si>
  <si>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</si>
  <si>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</si>
  <si>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</si>
  <si>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</si>
  <si>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</si>
  <si>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</si>
  <si>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</si>
  <si>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</si>
  <si>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</si>
  <si>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</si>
  <si>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</si>
  <si>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</si>
  <si>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</si>
  <si>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</si>
  <si>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</si>
  <si>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</si>
  <si>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</si>
  <si>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</si>
  <si>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</si>
  <si>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</si>
  <si>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</si>
  <si>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</si>
  <si>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</si>
  <si>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</si>
  <si>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</si>
  <si>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</si>
  <si>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</si>
  <si>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</si>
  <si>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</si>
  <si>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</si>
  <si>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</si>
  <si>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</si>
  <si>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</si>
  <si>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</si>
  <si>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</si>
  <si>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</si>
  <si>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</si>
  <si>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</si>
  <si>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</si>
  <si>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</si>
  <si>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</si>
  <si>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</si>
  <si>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</si>
  <si>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</si>
  <si>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</si>
  <si>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</si>
  <si>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</si>
  <si>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</si>
  <si>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</si>
  <si>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</si>
  <si>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</si>
  <si>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</si>
  <si>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</si>
  <si>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</si>
  <si>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</si>
  <si>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</si>
  <si>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</si>
  <si>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</si>
  <si>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</si>
  <si>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</si>
  <si>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</si>
  <si>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</si>
  <si>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</si>
  <si>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</si>
  <si>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</si>
  <si>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</si>
  <si>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</si>
  <si>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</si>
  <si>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</si>
  <si>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</si>
  <si>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</si>
  <si>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</si>
  <si>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</si>
  <si>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</si>
  <si>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</si>
  <si>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</si>
  <si>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</si>
  <si>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</si>
  <si>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</si>
  <si>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</si>
  <si>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</si>
  <si>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</si>
  <si>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</si>
  <si>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</si>
  <si>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</si>
  <si>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</si>
  <si>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</si>
  <si>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</si>
  <si>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</si>
  <si>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</si>
  <si>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</si>
  <si>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</si>
  <si>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</si>
  <si>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</si>
  <si>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</si>
  <si>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</si>
  <si>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</si>
  <si>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</si>
  <si>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</si>
  <si>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</si>
  <si>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</si>
  <si>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</si>
  <si>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</si>
  <si>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</si>
  <si>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</si>
  <si>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</si>
  <si>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</si>
  <si>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</si>
  <si>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</si>
  <si>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</si>
  <si>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</si>
  <si>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</si>
  <si>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</si>
  <si>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</si>
  <si>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</si>
  <si>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</si>
  <si>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</si>
  <si>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</si>
  <si>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</si>
  <si>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</si>
  <si>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</si>
  <si>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</si>
  <si>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</si>
  <si>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</si>
  <si>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</si>
  <si>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</si>
  <si>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</si>
  <si>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</si>
  <si>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</si>
  <si>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</si>
  <si>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</si>
  <si>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</si>
  <si>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</si>
  <si>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</si>
  <si>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</si>
  <si>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</si>
  <si>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</si>
  <si>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</si>
  <si>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</si>
  <si>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</si>
  <si>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</si>
  <si>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</si>
  <si>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</si>
  <si>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</si>
  <si>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</si>
  <si>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</si>
  <si>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</si>
  <si>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</si>
  <si>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</si>
  <si>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</si>
  <si>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</si>
  <si>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</si>
  <si>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</si>
  <si>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</si>
  <si>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</si>
  <si>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</si>
  <si>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</si>
  <si>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</si>
  <si>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</si>
  <si>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</si>
  <si>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</si>
  <si>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</si>
  <si>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</si>
  <si>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</si>
  <si>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</si>
  <si>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</si>
  <si>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</si>
  <si>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</si>
  <si>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</si>
  <si>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</si>
  <si>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</si>
  <si>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</si>
  <si>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</si>
  <si>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</si>
  <si>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</si>
  <si>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</si>
  <si>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</si>
  <si>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</si>
  <si>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</si>
  <si>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</si>
  <si>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</si>
  <si>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</si>
  <si>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</si>
  <si>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</si>
  <si>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</si>
  <si>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</si>
  <si>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</si>
  <si>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</si>
  <si>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</si>
  <si>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</si>
  <si>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</si>
  <si>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</si>
  <si>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</si>
  <si>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</si>
  <si>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</si>
  <si>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</si>
  <si>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</si>
  <si>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</si>
  <si>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</si>
  <si>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</si>
  <si>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</si>
  <si>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</si>
  <si>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</si>
  <si>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</si>
  <si>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</si>
  <si>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</si>
  <si>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</si>
  <si>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</si>
  <si>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</si>
  <si>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</si>
  <si>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</si>
  <si>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</si>
  <si>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</si>
  <si>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</si>
  <si>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</si>
  <si>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</si>
  <si>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</si>
  <si>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</si>
  <si>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</si>
  <si>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</si>
  <si>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</si>
  <si>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</si>
  <si>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</si>
  <si>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</si>
  <si>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</si>
  <si>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</si>
  <si>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</si>
  <si>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</si>
  <si>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</si>
  <si>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</si>
  <si>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</si>
  <si>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</si>
  <si>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</si>
  <si>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</si>
  <si>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</si>
  <si>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</si>
  <si>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</si>
  <si>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</si>
  <si>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</si>
  <si>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</si>
  <si>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</si>
  <si>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</si>
  <si>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</si>
  <si>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</si>
  <si>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</si>
  <si>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</si>
  <si>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</si>
  <si>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</si>
  <si>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</si>
  <si>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</si>
  <si>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</si>
  <si>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</si>
  <si>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</si>
  <si>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</si>
  <si>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</si>
  <si>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</si>
  <si>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</si>
  <si>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</si>
  <si>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</si>
  <si>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</si>
  <si>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</si>
  <si>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</si>
  <si>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</si>
  <si>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</si>
  <si>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</si>
  <si>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</si>
  <si>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</si>
  <si>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</si>
  <si>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</si>
  <si>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</si>
  <si>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</si>
  <si>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</si>
  <si>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</si>
  <si>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</si>
  <si>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</si>
  <si>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</si>
  <si>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</si>
  <si>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</si>
  <si>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</si>
  <si>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</si>
  <si>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</si>
  <si>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</si>
  <si>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</si>
  <si>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</si>
  <si>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</si>
  <si>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</si>
  <si>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</si>
  <si>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</si>
  <si>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</si>
  <si>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</si>
  <si>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</si>
  <si>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</si>
  <si>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</si>
  <si>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</si>
  <si>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</si>
  <si>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</si>
  <si>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</si>
  <si>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</si>
  <si>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</si>
  <si>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</si>
  <si>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</si>
  <si>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</si>
  <si>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</si>
  <si>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</si>
  <si>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</si>
  <si>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</si>
  <si>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</si>
  <si>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</si>
  <si>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</si>
  <si>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</si>
  <si>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</si>
  <si>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</si>
  <si>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</si>
  <si>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</si>
  <si>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</si>
  <si>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</si>
  <si>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</si>
  <si>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</si>
  <si>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</si>
  <si>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</si>
  <si>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</si>
  <si>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</si>
  <si>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</si>
  <si>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</si>
  <si>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</si>
  <si>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</si>
  <si>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</si>
  <si>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</si>
  <si>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</si>
  <si>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</si>
  <si>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</si>
  <si>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</si>
  <si>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</si>
  <si>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</si>
  <si>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</si>
  <si>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</si>
  <si>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</si>
  <si>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</si>
  <si>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</si>
  <si>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</si>
  <si>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</si>
  <si>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</si>
  <si>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</si>
  <si>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</si>
  <si>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</si>
  <si>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</si>
  <si>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</si>
  <si>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</si>
  <si>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</si>
  <si>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</si>
  <si>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</si>
  <si>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</si>
  <si>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</si>
  <si>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</si>
  <si>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</si>
  <si>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</si>
  <si>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</si>
  <si>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</si>
  <si>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</si>
  <si>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</si>
  <si>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</si>
  <si>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</si>
  <si>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</si>
  <si>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</si>
  <si>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</si>
  <si>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</si>
  <si>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</si>
  <si>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</si>
  <si>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</si>
  <si>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</si>
  <si>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</si>
  <si>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</si>
  <si>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</si>
  <si>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</si>
  <si>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</si>
  <si>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</si>
  <si>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</si>
  <si>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</si>
  <si>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</si>
  <si>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</si>
  <si>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</si>
  <si>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</si>
  <si>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</si>
  <si>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</si>
  <si>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</si>
  <si>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</si>
  <si>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</si>
  <si>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</si>
  <si>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</si>
  <si>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</si>
  <si>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</si>
  <si>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</si>
  <si>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</si>
  <si>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</si>
  <si>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</si>
  <si>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</si>
  <si>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</si>
  <si>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</si>
  <si>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</si>
  <si>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</si>
  <si>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</si>
  <si>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</si>
  <si>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</si>
  <si>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</si>
  <si>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</si>
  <si>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</si>
  <si>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</si>
  <si>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</si>
  <si>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</si>
  <si>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</si>
  <si>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</si>
  <si>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</si>
  <si>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</si>
  <si>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</si>
  <si>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</si>
  <si>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</si>
  <si>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</si>
  <si>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</si>
  <si>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</si>
  <si>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</si>
  <si>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</si>
  <si>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</si>
  <si>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</si>
  <si>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</si>
  <si>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</si>
  <si>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</si>
  <si>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</si>
  <si>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</si>
  <si>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</si>
  <si>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</si>
  <si>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</si>
  <si>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</si>
  <si>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</si>
  <si>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</si>
  <si>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</si>
  <si>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</si>
  <si>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</si>
  <si>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</si>
  <si>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</si>
  <si>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</si>
  <si>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</si>
  <si>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</si>
  <si>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</si>
  <si>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</si>
  <si>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</si>
  <si>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</si>
  <si>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</si>
  <si>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</si>
  <si>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</si>
  <si>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</si>
  <si>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</si>
  <si>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</si>
  <si>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</si>
  <si>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</si>
  <si>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</si>
  <si>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</si>
  <si>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</si>
  <si>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</si>
  <si>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</si>
  <si>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</si>
  <si>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</si>
  <si>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</si>
  <si>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</si>
  <si>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</si>
  <si>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</si>
  <si>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</si>
  <si>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</si>
  <si>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</si>
  <si>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</si>
  <si>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</si>
  <si>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</si>
  <si>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</si>
  <si>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</si>
  <si>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</si>
  <si>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</si>
  <si>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</si>
  <si>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</si>
  <si>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</si>
  <si>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</si>
  <si>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</si>
  <si>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</si>
  <si>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</si>
  <si>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</si>
  <si>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</si>
  <si>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</si>
  <si>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</si>
  <si>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</si>
  <si>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</si>
  <si>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</si>
  <si>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</si>
  <si>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</si>
  <si>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</si>
  <si>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</si>
  <si>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</si>
  <si>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</si>
  <si>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</si>
  <si>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</si>
  <si>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</si>
  <si>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</si>
  <si>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</si>
  <si>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</si>
  <si>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</si>
  <si>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</si>
  <si>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</si>
  <si>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</si>
  <si>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</si>
  <si>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</si>
  <si>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</si>
  <si>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</si>
  <si>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</si>
  <si>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</si>
  <si>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</si>
  <si>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</si>
  <si>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</si>
  <si>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</si>
  <si>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</si>
  <si>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</si>
  <si>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</si>
  <si>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</si>
  <si>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</si>
  <si>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</si>
  <si>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</si>
  <si>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</si>
  <si>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</si>
  <si>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</si>
  <si>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</si>
  <si>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</si>
  <si>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</si>
  <si>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</si>
  <si>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</si>
  <si>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</si>
  <si>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</si>
  <si>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</si>
  <si>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</si>
  <si>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</si>
  <si>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</si>
  <si>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</si>
  <si>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</si>
  <si>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</si>
  <si>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</si>
  <si>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</si>
  <si>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</si>
  <si>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</si>
  <si>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</si>
  <si>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</si>
  <si>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</si>
  <si>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</si>
  <si>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</si>
  <si>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</si>
  <si>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</si>
  <si>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</si>
  <si>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</si>
  <si>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</si>
  <si>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</si>
  <si>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</si>
  <si>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</si>
  <si>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</si>
  <si>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</si>
  <si>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</si>
  <si>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</si>
  <si>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</si>
  <si>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</si>
  <si>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</si>
  <si>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</si>
  <si>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</si>
  <si>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</si>
  <si>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</si>
  <si>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</si>
  <si>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</si>
  <si>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</si>
  <si>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</si>
  <si>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</si>
  <si>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</si>
  <si>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</si>
  <si>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</si>
  <si>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</si>
  <si>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</si>
  <si>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</si>
  <si>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</si>
  <si>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</si>
  <si>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</si>
  <si>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</si>
  <si>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</si>
  <si>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</si>
  <si>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</si>
  <si>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</si>
  <si>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</si>
  <si>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</si>
  <si>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</si>
  <si>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</si>
  <si>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</si>
  <si>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</si>
  <si>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</si>
  <si>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</si>
  <si>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</si>
  <si>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</si>
  <si>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</si>
  <si>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</si>
  <si>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</si>
  <si>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</si>
  <si>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</si>
  <si>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</si>
  <si>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</si>
  <si>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</si>
  <si>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</si>
  <si>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</si>
  <si>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</si>
  <si>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</si>
  <si>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</si>
  <si>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</si>
  <si>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</si>
  <si>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</si>
  <si>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</si>
  <si>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</si>
  <si>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</si>
  <si>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</si>
  <si>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</si>
  <si>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</si>
  <si>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</si>
  <si>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</si>
  <si>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</si>
  <si>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</si>
  <si>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</si>
  <si>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</si>
  <si>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</si>
  <si>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</si>
  <si>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</si>
  <si>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</si>
  <si>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</si>
  <si>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</si>
  <si>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</si>
  <si>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</si>
  <si>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</si>
  <si>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</si>
  <si>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</si>
  <si>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</si>
  <si>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</si>
  <si>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</si>
  <si>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</si>
  <si>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</si>
  <si>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</si>
  <si>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</si>
  <si>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</si>
  <si>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</si>
  <si>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</si>
  <si>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</si>
  <si>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</si>
  <si>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</si>
  <si>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</si>
  <si>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</si>
  <si>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</si>
  <si>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</si>
  <si>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</si>
  <si>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</si>
  <si>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</si>
  <si>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</si>
  <si>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</si>
  <si>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</si>
  <si>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</si>
  <si>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</si>
  <si>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</si>
  <si>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</si>
  <si>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</si>
  <si>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</si>
  <si>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</si>
  <si>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</si>
  <si>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</si>
  <si>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</si>
  <si>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</si>
  <si>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</si>
  <si>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</si>
  <si>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</si>
  <si>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</si>
  <si>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</si>
  <si>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</si>
  <si>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</si>
  <si>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</si>
  <si>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</si>
  <si>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</si>
  <si>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</si>
  <si>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</si>
  <si>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</si>
  <si>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</si>
  <si>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</si>
  <si>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</si>
  <si>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</si>
  <si>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</si>
  <si>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</si>
  <si>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</si>
  <si>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</si>
  <si>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</si>
  <si>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</si>
  <si>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</si>
  <si>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</si>
  <si>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</si>
  <si>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</si>
  <si>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</si>
  <si>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</si>
  <si>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</si>
  <si>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</si>
  <si>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</si>
  <si>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</si>
  <si>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</si>
  <si>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</si>
  <si>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</si>
  <si>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</si>
  <si>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</si>
  <si>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</si>
  <si>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</si>
  <si>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</si>
  <si>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</si>
  <si>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</si>
  <si>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</si>
  <si>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</si>
  <si>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</si>
  <si>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</si>
  <si>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</si>
  <si>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</si>
  <si>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</si>
  <si>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</si>
  <si>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</si>
  <si>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</si>
  <si>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</si>
  <si>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</si>
  <si>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</si>
  <si>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</si>
  <si>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</si>
  <si>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</si>
  <si>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</si>
  <si>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</si>
  <si>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</si>
  <si>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</si>
  <si>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</si>
  <si>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</si>
  <si>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</si>
  <si>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</si>
  <si>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</si>
  <si>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</si>
  <si>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</si>
  <si>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</si>
  <si>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</si>
  <si>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</si>
  <si>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</si>
  <si>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</si>
  <si>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</si>
  <si>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</si>
  <si>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</si>
  <si>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</si>
  <si>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</si>
  <si>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</si>
  <si>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</si>
  <si>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</si>
  <si>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</si>
  <si>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</si>
  <si>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</si>
  <si>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</si>
  <si>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</si>
  <si>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</si>
  <si>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</si>
  <si>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</si>
  <si>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</si>
  <si>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</si>
  <si>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</si>
  <si>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</si>
  <si>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</si>
  <si>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</si>
  <si>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</si>
  <si>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</si>
  <si>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</si>
  <si>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</si>
  <si>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</si>
  <si>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</si>
  <si>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</si>
  <si>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</si>
  <si>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</si>
  <si>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</si>
  <si>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</si>
  <si>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</si>
  <si>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</si>
  <si>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</si>
  <si>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</si>
  <si>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</si>
  <si>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</si>
  <si>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</si>
  <si>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</si>
  <si>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</si>
  <si>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</si>
  <si>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</si>
  <si>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</si>
  <si>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</si>
  <si>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</si>
  <si>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</si>
  <si>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</si>
  <si>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</si>
  <si>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</si>
  <si>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</si>
  <si>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</si>
  <si>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</si>
  <si>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</si>
  <si>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</si>
  <si>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</si>
  <si>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</si>
  <si>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</si>
  <si>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</si>
  <si>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</si>
  <si>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</si>
  <si>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</si>
  <si>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</si>
  <si>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</si>
  <si>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</si>
  <si>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</si>
  <si>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</si>
  <si>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</si>
  <si>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</si>
  <si>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</si>
  <si>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</si>
  <si>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</si>
  <si>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</si>
  <si>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</si>
  <si>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</si>
  <si>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</si>
  <si>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</si>
  <si>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</si>
  <si>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</si>
  <si>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</si>
  <si>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</si>
  <si>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</si>
  <si>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</si>
  <si>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</si>
  <si>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</si>
  <si>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</si>
  <si>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</si>
  <si>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</si>
  <si>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</si>
  <si>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</si>
  <si>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</si>
  <si>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</si>
  <si>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</si>
  <si>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</si>
  <si>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</si>
  <si>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</si>
  <si>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</si>
  <si>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</si>
  <si>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</si>
  <si>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</si>
  <si>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</si>
  <si>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</si>
  <si>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</si>
  <si>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</si>
  <si>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</si>
  <si>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</si>
  <si>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</si>
  <si>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</si>
  <si>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</si>
  <si>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</si>
  <si>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</si>
  <si>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</si>
  <si>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</si>
  <si>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</si>
  <si>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</si>
  <si>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</si>
  <si>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</si>
  <si>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</si>
  <si>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</si>
  <si>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</si>
  <si>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</si>
  <si>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</si>
  <si>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</si>
  <si>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</si>
  <si>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</si>
  <si>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</si>
  <si>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</si>
  <si>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</si>
  <si>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</si>
  <si>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</si>
  <si>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</si>
  <si>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</si>
  <si>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</si>
  <si>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</si>
  <si>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</si>
  <si>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</si>
  <si>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</si>
  <si>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</si>
  <si>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</si>
  <si>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</si>
  <si>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</si>
  <si>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</si>
  <si>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</si>
  <si>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</si>
  <si>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</si>
  <si>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</si>
  <si>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</si>
  <si>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</si>
  <si>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</si>
  <si>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</si>
  <si>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</si>
  <si>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</si>
  <si>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</si>
  <si>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</si>
  <si>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</si>
  <si>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</si>
  <si>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</si>
  <si>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</si>
  <si>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</si>
  <si>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</si>
  <si>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</si>
  <si>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</si>
  <si>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</si>
  <si>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</si>
  <si>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</si>
  <si>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</si>
  <si>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</si>
  <si>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</si>
  <si>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</si>
  <si>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</si>
  <si>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</si>
  <si>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</si>
  <si>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</si>
  <si>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</si>
  <si>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</si>
  <si>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</si>
  <si>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</si>
  <si>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</si>
  <si>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</si>
  <si>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</si>
  <si>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</si>
  <si>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</si>
  <si>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</si>
  <si>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</si>
  <si>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</si>
  <si>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</si>
  <si>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</si>
  <si>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</si>
  <si>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</si>
  <si>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</si>
  <si>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</si>
  <si>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</si>
  <si>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</si>
  <si>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</si>
  <si>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</si>
  <si>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</si>
  <si>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</si>
  <si>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</si>
  <si>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</si>
  <si>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</si>
  <si>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</si>
  <si>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</si>
  <si>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</si>
  <si>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</si>
  <si>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</si>
  <si>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</si>
  <si>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</si>
  <si>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</si>
  <si>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</si>
  <si>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</si>
  <si>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</si>
  <si>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</si>
  <si>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</si>
  <si>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</si>
  <si>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</si>
  <si>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</si>
  <si>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</si>
  <si>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</si>
  <si>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</si>
  <si>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</si>
  <si>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</si>
  <si>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</si>
  <si>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</si>
  <si>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</si>
  <si>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</si>
  <si>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</si>
  <si>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</si>
  <si>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</si>
  <si>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</si>
  <si>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</si>
  <si>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</si>
  <si>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</si>
  <si>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</si>
  <si>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</si>
  <si>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</si>
  <si>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</si>
  <si>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</si>
  <si>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</si>
  <si>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</si>
  <si>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</si>
  <si>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</si>
  <si>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</si>
  <si>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</si>
  <si>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</si>
  <si>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</si>
  <si>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</si>
  <si>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</si>
  <si>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</si>
  <si>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</si>
  <si>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</si>
  <si>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</si>
  <si>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</si>
  <si>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</si>
  <si>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</si>
  <si>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</si>
  <si>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</si>
  <si>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</si>
  <si>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</si>
  <si>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</si>
  <si>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</si>
  <si>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</si>
  <si>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</si>
  <si>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</si>
  <si>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</si>
  <si>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</si>
  <si>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</si>
  <si>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</si>
  <si>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</si>
  <si>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</si>
  <si>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</si>
  <si>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</si>
  <si>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</si>
  <si>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</si>
  <si>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</si>
  <si>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</si>
  <si>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</si>
  <si>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</si>
  <si>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</si>
  <si>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</si>
  <si>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</si>
  <si>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</si>
  <si>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</si>
  <si>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</si>
  <si>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</si>
  <si>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</si>
  <si>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</si>
  <si>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</si>
  <si>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</si>
  <si>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</si>
  <si>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</si>
  <si>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</si>
  <si>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</si>
  <si>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</si>
  <si>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</si>
  <si>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</si>
  <si>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</si>
  <si>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</si>
  <si>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</si>
  <si>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</si>
  <si>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</si>
  <si>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</si>
  <si>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</si>
  <si>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</si>
  <si>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</si>
  <si>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</si>
  <si>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</si>
  <si>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</si>
  <si>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</si>
  <si>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</si>
  <si>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</si>
  <si>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</si>
  <si>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</si>
  <si>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</si>
  <si>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</si>
  <si>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</si>
  <si>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</si>
  <si>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</si>
  <si>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</si>
  <si>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</si>
  <si>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</si>
  <si>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</si>
  <si>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</si>
  <si>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</si>
  <si>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</si>
  <si>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</si>
  <si>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</si>
  <si>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</si>
  <si>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</si>
  <si>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</si>
  <si>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</si>
  <si>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</si>
  <si>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</si>
  <si>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</si>
  <si>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</si>
  <si>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</si>
  <si>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</si>
  <si>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</si>
  <si>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</si>
  <si>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</si>
  <si>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</si>
  <si>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</si>
  <si>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</si>
  <si>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</si>
  <si>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</si>
  <si>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</si>
  <si>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</si>
  <si>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</si>
  <si>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</si>
  <si>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</si>
  <si>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</si>
  <si>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</si>
  <si>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</si>
  <si>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</si>
  <si>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</si>
  <si>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</si>
  <si>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</si>
  <si>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</si>
  <si>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</si>
  <si>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</si>
  <si>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</si>
  <si>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</si>
  <si>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</si>
  <si>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</si>
  <si>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</si>
  <si>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</si>
  <si>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</si>
  <si>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</si>
  <si>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</si>
  <si>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</si>
  <si>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</si>
  <si>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</si>
  <si>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</si>
  <si>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</si>
  <si>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</si>
  <si>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</si>
  <si>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</si>
  <si>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</si>
  <si>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</si>
  <si>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</si>
  <si>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</si>
  <si>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</si>
  <si>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</si>
  <si>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</si>
  <si>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</si>
  <si>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</si>
  <si>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</si>
  <si>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</si>
  <si>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</si>
  <si>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</si>
  <si>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</si>
  <si>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</si>
  <si>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</si>
  <si>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</si>
  <si>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</si>
  <si>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</si>
  <si>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</si>
  <si>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</si>
  <si>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</si>
  <si>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</si>
  <si>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</si>
  <si>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</si>
  <si>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</si>
  <si>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</si>
  <si>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</si>
  <si>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</si>
  <si>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</si>
  <si>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</si>
  <si>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</si>
  <si>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</si>
  <si>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</si>
  <si>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</si>
  <si>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</si>
  <si>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</si>
  <si>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</si>
  <si>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</si>
  <si>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</si>
  <si>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</si>
  <si>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</si>
  <si>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</si>
  <si>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</si>
  <si>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</si>
  <si>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</si>
  <si>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</si>
  <si>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</si>
  <si>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</si>
  <si>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</si>
  <si>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</si>
  <si>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</si>
  <si>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</si>
  <si>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</si>
  <si>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</si>
  <si>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</si>
  <si>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</si>
  <si>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</si>
  <si>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</si>
  <si>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</si>
  <si>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</si>
  <si>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</si>
  <si>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</si>
  <si>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</si>
  <si>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</si>
  <si>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</si>
  <si>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</si>
  <si>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</si>
  <si>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</si>
  <si>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</si>
  <si>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</si>
  <si>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</si>
  <si>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</si>
  <si>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</si>
  <si>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</si>
  <si>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</si>
  <si>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</si>
  <si>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</si>
  <si>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</si>
  <si>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</si>
  <si>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</si>
  <si>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</si>
  <si>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</si>
  <si>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</si>
  <si>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</si>
  <si>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</si>
  <si>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</si>
  <si>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</si>
  <si>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</si>
  <si>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</si>
  <si>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</si>
  <si>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</si>
  <si>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</si>
  <si>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</si>
  <si>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</si>
  <si>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</si>
  <si>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</si>
  <si>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</si>
  <si>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</si>
  <si>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</si>
  <si>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</si>
  <si>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</si>
  <si>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</si>
  <si>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</si>
  <si>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</si>
  <si>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</si>
  <si>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</si>
  <si>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</si>
  <si>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</si>
  <si>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</si>
  <si>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</si>
  <si>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</si>
  <si>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</si>
  <si>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</si>
  <si>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</si>
  <si>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</si>
  <si>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</si>
  <si>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</si>
  <si>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</si>
  <si>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</si>
  <si>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</si>
  <si>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</si>
  <si>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</si>
  <si>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</si>
  <si>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</si>
  <si>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</si>
  <si>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</si>
  <si>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</si>
  <si>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</si>
  <si>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</si>
  <si>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</si>
  <si>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</si>
  <si>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</si>
  <si>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</si>
  <si>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</si>
  <si>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</si>
  <si>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</si>
  <si>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</si>
  <si>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</si>
  <si>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</si>
  <si>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</si>
  <si>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</si>
  <si>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</si>
  <si>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</si>
  <si>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</si>
  <si>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</si>
  <si>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</si>
  <si>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</si>
  <si>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</si>
  <si>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</si>
  <si>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</si>
  <si>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</si>
  <si>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</si>
  <si>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</si>
  <si>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</si>
  <si>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</si>
  <si>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</si>
  <si>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</si>
  <si>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</si>
  <si>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</si>
  <si>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</si>
  <si>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</si>
  <si>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</si>
  <si>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</si>
  <si>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</si>
  <si>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</si>
  <si>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</si>
  <si>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</si>
  <si>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</si>
  <si>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</si>
  <si>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</si>
  <si>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</si>
  <si>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</si>
  <si>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</si>
  <si>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</si>
  <si>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</si>
  <si>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</si>
  <si>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</si>
  <si>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</si>
  <si>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</si>
  <si>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</si>
  <si>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</si>
  <si>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</si>
  <si>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</si>
  <si>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</si>
  <si>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</si>
  <si>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</si>
  <si>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</si>
  <si>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</si>
  <si>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</si>
  <si>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</si>
  <si>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</si>
  <si>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</si>
  <si>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</si>
  <si>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</si>
  <si>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</si>
  <si>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</si>
  <si>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</si>
  <si>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</si>
  <si>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</si>
  <si>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</si>
  <si>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</si>
  <si>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</si>
  <si>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</si>
  <si>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</si>
  <si>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</si>
  <si>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</si>
  <si>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</si>
  <si>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</si>
  <si>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</si>
  <si>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</si>
  <si>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</si>
  <si>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</si>
  <si>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</si>
  <si>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</si>
  <si>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</si>
  <si>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</si>
  <si>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</si>
  <si>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</si>
  <si>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</si>
  <si>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</si>
  <si>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</si>
  <si>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</si>
  <si>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</si>
  <si>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</si>
  <si>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</si>
  <si>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</si>
  <si>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</si>
  <si>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</si>
  <si>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</si>
  <si>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</si>
  <si>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</si>
  <si>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</si>
  <si>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</si>
  <si>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</si>
  <si>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</si>
  <si>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</si>
  <si>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</si>
  <si>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</si>
  <si>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</si>
  <si>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</si>
  <si>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</si>
  <si>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</si>
  <si>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</si>
  <si>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</si>
  <si>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</si>
  <si>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</si>
  <si>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</si>
  <si>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</si>
  <si>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</si>
  <si>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</si>
  <si>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</si>
  <si>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</si>
  <si>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</si>
  <si>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</si>
  <si>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</si>
  <si>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</si>
  <si>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</si>
  <si>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</si>
  <si>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</si>
  <si>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</si>
  <si>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</si>
  <si>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</si>
  <si>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</si>
  <si>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</si>
  <si>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</si>
  <si>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</si>
  <si>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</si>
  <si>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</si>
  <si>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</si>
  <si>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</si>
  <si>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</si>
  <si>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</si>
  <si>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</si>
  <si>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</si>
  <si>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</si>
  <si>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</si>
  <si>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</si>
  <si>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</si>
  <si>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</si>
  <si>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</si>
  <si>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</si>
  <si>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</si>
  <si>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</si>
  <si>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</si>
  <si>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</si>
  <si>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</si>
  <si>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</si>
  <si>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</si>
  <si>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</si>
  <si>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</si>
  <si>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</si>
  <si>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</si>
  <si>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</si>
  <si>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</si>
  <si>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</si>
  <si>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</si>
  <si>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</si>
  <si>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</si>
  <si>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</si>
  <si>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</si>
  <si>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</si>
  <si>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</si>
  <si>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</si>
  <si>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</si>
  <si>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</si>
  <si>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</si>
  <si>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</si>
  <si>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</si>
  <si>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</si>
  <si>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</si>
  <si>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</si>
  <si>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</si>
  <si>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</si>
  <si>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</si>
  <si>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</si>
  <si>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</si>
  <si>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</si>
  <si>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</si>
  <si>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</si>
  <si>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</si>
  <si>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</si>
  <si>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</si>
  <si>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</si>
  <si>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</si>
  <si>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</si>
  <si>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</si>
  <si>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</si>
  <si>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</si>
  <si>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</si>
  <si>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</si>
  <si>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</si>
  <si>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</si>
  <si>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</si>
  <si>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</si>
  <si>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</si>
  <si>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</si>
  <si>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</si>
  <si>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</si>
  <si>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</si>
  <si>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</si>
  <si>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</si>
  <si>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</si>
  <si>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</si>
  <si>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</si>
  <si>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</si>
  <si>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</si>
  <si>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</si>
  <si>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</si>
  <si>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</si>
  <si>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</si>
  <si>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</si>
  <si>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</si>
  <si>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</si>
  <si>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</si>
  <si>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</si>
  <si>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</si>
  <si>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</si>
  <si>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</si>
  <si>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</si>
  <si>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</si>
  <si>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</si>
  <si>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</si>
  <si>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</si>
  <si>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</si>
  <si>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</si>
  <si>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</si>
  <si>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</si>
  <si>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</si>
  <si>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</si>
  <si>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</si>
  <si>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</si>
  <si>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</si>
  <si>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</si>
  <si>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</si>
  <si>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</si>
  <si>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</si>
  <si>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</si>
  <si>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</si>
  <si>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</si>
  <si>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</si>
  <si>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</si>
  <si>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</si>
  <si>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</si>
  <si>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</si>
  <si>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</si>
  <si>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</si>
  <si>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</si>
  <si>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</si>
  <si>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</si>
  <si>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</si>
  <si>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</si>
  <si>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</si>
  <si>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</si>
  <si>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</si>
  <si>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</si>
  <si>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</si>
  <si>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</si>
  <si>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</si>
  <si>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</si>
  <si>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</si>
  <si>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</si>
  <si>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</si>
  <si>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</si>
  <si>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</si>
  <si>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</si>
  <si>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</si>
  <si>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</si>
  <si>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</si>
  <si>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</si>
  <si>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</si>
  <si>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</si>
  <si>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</si>
  <si>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</si>
  <si>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</si>
  <si>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</si>
  <si>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</si>
  <si>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</si>
  <si>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</si>
  <si>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</si>
  <si>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</si>
  <si>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</si>
  <si>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</si>
  <si>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</si>
  <si>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</si>
  <si>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</si>
  <si>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</si>
  <si>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</si>
  <si>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</si>
  <si>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</si>
  <si>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</si>
  <si>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</si>
  <si>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</si>
  <si>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</si>
  <si>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</si>
  <si>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</si>
  <si>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</si>
  <si>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</si>
  <si>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</si>
  <si>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</si>
  <si>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</si>
  <si>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</si>
  <si>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</si>
  <si>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</si>
  <si>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</si>
  <si>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</si>
  <si>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</si>
  <si>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</si>
  <si>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</si>
  <si>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</si>
  <si>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</si>
  <si>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</si>
  <si>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</si>
  <si>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</si>
  <si>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</si>
  <si>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</si>
  <si>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</si>
  <si>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</si>
  <si>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</si>
  <si>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</si>
  <si>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</si>
  <si>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</si>
  <si>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</si>
  <si>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</si>
  <si>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</si>
  <si>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</si>
  <si>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</si>
  <si>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</si>
  <si>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</si>
  <si>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</si>
  <si>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</si>
  <si>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</si>
  <si>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</si>
  <si>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</si>
  <si>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</si>
  <si>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</si>
  <si>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</si>
  <si>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</si>
  <si>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</si>
  <si>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</si>
  <si>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</si>
  <si>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</si>
  <si>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</si>
  <si>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</si>
  <si>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</si>
  <si>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</si>
  <si>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</si>
  <si>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</si>
  <si>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</si>
  <si>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</si>
  <si>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</si>
  <si>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</si>
  <si>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</si>
  <si>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</si>
  <si>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</si>
  <si>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</si>
  <si>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</si>
  <si>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</si>
  <si>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</si>
  <si>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</si>
  <si>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</si>
  <si>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</si>
  <si>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</si>
  <si>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</si>
  <si>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</si>
  <si>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</si>
  <si>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</si>
  <si>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</si>
  <si>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</si>
  <si>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</si>
  <si>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</si>
  <si>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</si>
  <si>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</si>
  <si>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</si>
  <si>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</si>
  <si>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</si>
  <si>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</si>
  <si>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</si>
  <si>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</si>
  <si>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</si>
  <si>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</si>
  <si>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</si>
  <si>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</si>
  <si>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</si>
  <si>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</si>
  <si>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</si>
  <si>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</si>
  <si>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</si>
  <si>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</si>
  <si>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</si>
  <si>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</si>
  <si>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</si>
  <si>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</si>
  <si>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</si>
  <si>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</si>
  <si>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</si>
  <si>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</si>
  <si>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</si>
  <si>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</si>
  <si>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</si>
  <si>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</si>
  <si>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</si>
  <si>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</si>
  <si>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</si>
  <si>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</si>
  <si>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</si>
  <si>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</si>
  <si>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</si>
  <si>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</si>
  <si>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</si>
  <si>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</si>
  <si>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</si>
  <si>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</si>
  <si>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</si>
  <si>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</si>
  <si>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</si>
  <si>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</si>
  <si>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</si>
  <si>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</si>
  <si>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</si>
  <si>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</si>
  <si>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</si>
  <si>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</si>
  <si>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</si>
  <si>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</si>
  <si>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</si>
  <si>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</si>
  <si>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</si>
  <si>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</si>
  <si>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</si>
  <si>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</si>
  <si>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</si>
  <si>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</si>
  <si>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</si>
  <si>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</si>
  <si>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</si>
  <si>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</si>
  <si>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</si>
  <si>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</si>
  <si>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</si>
  <si>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</si>
  <si>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</si>
  <si>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</si>
  <si>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</si>
  <si>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</si>
  <si>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</si>
  <si>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</si>
  <si>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</si>
  <si>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</si>
  <si>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</si>
  <si>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</si>
  <si>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</si>
  <si>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</si>
  <si>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</si>
  <si>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</si>
  <si>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</si>
  <si>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</si>
  <si>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</si>
  <si>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</si>
  <si>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</si>
  <si>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</si>
  <si>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</si>
  <si>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</si>
  <si>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</si>
  <si>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</si>
  <si>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</si>
  <si>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</si>
  <si>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</si>
  <si>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</si>
  <si>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</si>
  <si>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</si>
  <si>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</si>
  <si>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</si>
  <si>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</si>
  <si>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</si>
  <si>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</si>
  <si>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</si>
  <si>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</si>
  <si>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</si>
  <si>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</si>
  <si>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</si>
  <si>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</si>
  <si>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</si>
  <si>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</si>
  <si>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</si>
  <si>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</si>
  <si>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</si>
  <si>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</si>
  <si>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</si>
  <si>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</si>
  <si>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</si>
  <si>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</si>
  <si>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</si>
  <si>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</si>
  <si>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</si>
  <si>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</si>
  <si>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</si>
  <si>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</si>
  <si>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</si>
  <si>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</si>
  <si>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</si>
  <si>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</si>
  <si>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</si>
  <si>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</si>
  <si>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</si>
  <si>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</si>
  <si>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</si>
  <si>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</si>
  <si>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</si>
  <si>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</si>
  <si>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</si>
  <si>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</si>
  <si>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</si>
  <si>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</si>
  <si>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</si>
  <si>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</si>
  <si>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</si>
  <si>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</si>
  <si>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</si>
  <si>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</si>
  <si>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</si>
  <si>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</si>
  <si>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</si>
  <si>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</si>
  <si>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</si>
  <si>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</si>
  <si>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</si>
  <si>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</si>
  <si>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</si>
  <si>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</si>
  <si>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</si>
  <si>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</si>
  <si>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</si>
  <si>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</si>
  <si>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</si>
  <si>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</si>
  <si>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</si>
  <si>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</si>
  <si>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</si>
  <si>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</si>
  <si>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</si>
  <si>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</si>
  <si>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</si>
  <si>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</si>
  <si>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</si>
  <si>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</si>
  <si>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</si>
  <si>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</si>
  <si>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</si>
  <si>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</si>
  <si>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</si>
  <si>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</si>
  <si>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</si>
  <si>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</si>
  <si>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</si>
  <si>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</si>
  <si>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</si>
  <si>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</si>
  <si>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</si>
  <si>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</si>
  <si>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</si>
  <si>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</si>
  <si>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</si>
  <si>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</si>
  <si>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</si>
  <si>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</si>
  <si>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</si>
  <si>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</si>
  <si>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</si>
  <si>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</si>
  <si>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</si>
  <si>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</si>
  <si>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</si>
  <si>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</si>
  <si>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</si>
  <si>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</si>
  <si>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</si>
  <si>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</si>
  <si>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</si>
  <si>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</si>
  <si>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</si>
  <si>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</si>
  <si>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</si>
  <si>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</si>
  <si>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</si>
  <si>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</si>
  <si>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</si>
  <si>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</si>
  <si>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</si>
  <si>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</si>
  <si>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</si>
  <si>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</si>
  <si>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</si>
  <si>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</si>
  <si>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</si>
  <si>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</si>
  <si>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</si>
  <si>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</si>
  <si>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</si>
  <si>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</si>
  <si>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</si>
  <si>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</si>
  <si>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</si>
  <si>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</si>
  <si>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</si>
  <si>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</si>
  <si>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</si>
  <si>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</si>
  <si>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</si>
  <si>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</si>
  <si>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</si>
  <si>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</si>
  <si>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</si>
  <si>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</si>
  <si>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</si>
  <si>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</si>
  <si>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</si>
  <si>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</si>
  <si>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</si>
  <si>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</si>
  <si>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</si>
  <si>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</si>
  <si>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</si>
  <si>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</si>
  <si>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</si>
  <si>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</si>
  <si>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</si>
  <si>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</si>
  <si>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</si>
  <si>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</si>
  <si>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</si>
  <si>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</si>
  <si>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</si>
  <si>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</si>
  <si>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</si>
  <si>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</si>
  <si>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</si>
  <si>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</si>
  <si>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</si>
  <si>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</si>
  <si>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</si>
  <si>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</si>
  <si>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</si>
  <si>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</si>
  <si>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</si>
  <si>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</si>
  <si>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</si>
  <si>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</si>
  <si>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</si>
  <si>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</si>
  <si>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</si>
  <si>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</si>
  <si>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</si>
  <si>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</si>
  <si>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</si>
  <si>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</si>
  <si>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</si>
  <si>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</si>
  <si>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</si>
  <si>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</si>
  <si>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</si>
  <si>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</si>
  <si>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</si>
  <si>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</si>
  <si>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</si>
  <si>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</si>
  <si>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</si>
  <si>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</si>
  <si>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</si>
  <si>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</si>
  <si>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</si>
  <si>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</si>
  <si>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</si>
  <si>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</si>
  <si>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</si>
  <si>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</si>
  <si>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</si>
  <si>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</si>
  <si>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</si>
  <si>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</si>
  <si>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</si>
  <si>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</si>
  <si>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</si>
  <si>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</si>
  <si>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</si>
  <si>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</si>
  <si>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</si>
  <si>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</si>
  <si>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</si>
  <si>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</si>
  <si>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</si>
  <si>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</si>
  <si>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</si>
  <si>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</si>
  <si>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</si>
  <si>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</si>
  <si>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</si>
  <si>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</si>
  <si>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</si>
  <si>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</si>
  <si>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</si>
  <si>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</si>
  <si>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</si>
  <si>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</si>
  <si>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</si>
  <si>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</si>
  <si>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</si>
  <si>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</si>
  <si>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</si>
  <si>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</si>
  <si>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</si>
  <si>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</si>
  <si>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</si>
  <si>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</si>
  <si>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</si>
  <si>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</si>
  <si>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</si>
  <si>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</si>
  <si>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</si>
  <si>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</si>
  <si>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</si>
  <si>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</si>
  <si>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</si>
  <si>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</si>
  <si>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</si>
  <si>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</si>
  <si>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</si>
  <si>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</si>
  <si>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</si>
  <si>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</si>
  <si>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</si>
  <si>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</si>
  <si>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</si>
  <si>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</si>
  <si>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</si>
  <si>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</si>
  <si>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</si>
  <si>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</si>
  <si>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</si>
  <si>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</si>
  <si>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</si>
  <si>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</si>
  <si>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</si>
  <si>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</si>
  <si>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</si>
  <si>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</si>
  <si>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</si>
  <si>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</si>
  <si>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</si>
  <si>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</si>
  <si>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</si>
  <si>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</si>
  <si>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</si>
  <si>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</si>
  <si>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</si>
  <si>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</si>
  <si>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</si>
  <si>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</si>
  <si>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</si>
  <si>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</si>
  <si>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</si>
  <si>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</si>
  <si>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</si>
  <si>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</si>
  <si>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</si>
  <si>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</si>
  <si>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</si>
  <si>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</si>
  <si>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</si>
  <si>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</si>
  <si>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</si>
  <si>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</si>
  <si>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</si>
  <si>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</si>
  <si>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</si>
  <si>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</si>
  <si>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</si>
  <si>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</si>
  <si>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</si>
  <si>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</si>
  <si>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</si>
  <si>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</si>
  <si>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</si>
  <si>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</si>
  <si>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</si>
  <si>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</si>
  <si>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</si>
  <si>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</si>
  <si>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</si>
  <si>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</si>
  <si>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</si>
  <si>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</si>
  <si>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</si>
  <si>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</si>
  <si>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</si>
  <si>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</si>
  <si>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</si>
  <si>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</si>
  <si>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</si>
  <si>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</si>
  <si>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</si>
  <si>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</si>
  <si>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</si>
  <si>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</si>
  <si>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</si>
  <si>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</si>
  <si>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</si>
  <si>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</si>
  <si>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</si>
  <si>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</si>
  <si>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</si>
  <si>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</si>
  <si>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</si>
  <si>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</si>
  <si>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</si>
  <si>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</si>
  <si>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</si>
  <si>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</si>
  <si>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</si>
  <si>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</si>
  <si>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</si>
  <si>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</si>
  <si>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</si>
  <si>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</si>
  <si>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</si>
  <si>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</si>
  <si>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</si>
  <si>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</si>
  <si>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</si>
  <si>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</si>
  <si>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</si>
  <si>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</si>
  <si>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</si>
  <si>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</si>
  <si>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</si>
  <si>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</si>
  <si>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</si>
  <si>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</si>
  <si>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</si>
  <si>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</si>
  <si>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</si>
  <si>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</si>
  <si>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</si>
  <si>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</si>
  <si>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</si>
  <si>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</si>
  <si>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</si>
  <si>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</si>
  <si>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</si>
  <si>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</si>
  <si>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</si>
  <si>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</si>
  <si>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</si>
  <si>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</si>
  <si>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</si>
  <si>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</si>
  <si>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</si>
  <si>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</si>
  <si>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</si>
  <si>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</si>
  <si>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</si>
  <si>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</si>
  <si>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</si>
  <si>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</si>
  <si>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</si>
  <si>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</si>
  <si>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</si>
  <si>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</si>
  <si>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</si>
  <si>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</si>
  <si>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</si>
  <si>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</si>
  <si>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</si>
  <si>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</si>
  <si>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</si>
  <si>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</si>
  <si>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</si>
  <si>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</si>
  <si>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</si>
  <si>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</si>
  <si>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</si>
  <si>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</si>
  <si>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</si>
  <si>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</si>
  <si>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</si>
  <si>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</si>
  <si>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</si>
  <si>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</si>
  <si>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</si>
  <si>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</si>
  <si>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</si>
  <si>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</si>
  <si>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</si>
  <si>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</si>
  <si>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</si>
  <si>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</si>
  <si>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</si>
  <si>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</si>
  <si>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</si>
  <si>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</si>
  <si>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</si>
  <si>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</si>
  <si>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</si>
  <si>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</si>
  <si>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</si>
  <si>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</si>
  <si>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</si>
  <si>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</si>
  <si>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</si>
  <si>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</si>
  <si>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</si>
  <si>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</si>
  <si>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</si>
  <si>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</si>
  <si>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</si>
  <si>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</si>
  <si>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</si>
  <si>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</si>
  <si>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</si>
  <si>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</si>
  <si>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</si>
  <si>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</si>
  <si>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</si>
  <si>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</si>
  <si>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</si>
  <si>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</si>
  <si>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</si>
  <si>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</si>
  <si>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</si>
  <si>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</si>
  <si>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</si>
  <si>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</si>
  <si>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</si>
  <si>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</si>
  <si>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</si>
  <si>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</si>
  <si>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</si>
  <si>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</si>
  <si>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</si>
  <si>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</si>
  <si>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</si>
  <si>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</si>
  <si>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</si>
  <si>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</si>
  <si>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</si>
  <si>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</si>
  <si>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</si>
  <si>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</si>
  <si>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</si>
  <si>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</si>
  <si>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</si>
  <si>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</si>
  <si>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</si>
  <si>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</si>
  <si>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</si>
  <si>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</si>
  <si>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</si>
  <si>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</si>
  <si>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</si>
  <si>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</si>
  <si>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</si>
  <si>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</si>
  <si>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</si>
  <si>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</si>
  <si>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</si>
  <si>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</si>
  <si>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</si>
  <si>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</si>
  <si>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</si>
  <si>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</si>
  <si>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</si>
  <si>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</si>
  <si>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</si>
  <si>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</si>
  <si>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</si>
  <si>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</si>
  <si>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</si>
  <si>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</si>
  <si>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</si>
  <si>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</si>
  <si>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</si>
  <si>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</si>
  <si>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</si>
  <si>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</si>
  <si>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</si>
  <si>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</si>
  <si>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</si>
  <si>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</si>
  <si>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</si>
  <si>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</si>
  <si>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</si>
  <si>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</si>
  <si>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</si>
  <si>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</si>
  <si>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</si>
  <si>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</si>
  <si>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</si>
  <si>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</si>
  <si>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</si>
  <si>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</si>
  <si>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</si>
  <si>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</si>
  <si>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</si>
  <si>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</si>
  <si>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</si>
  <si>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</si>
  <si>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</si>
  <si>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</si>
  <si>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</si>
  <si>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</si>
  <si>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</si>
  <si>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</si>
  <si>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</si>
  <si>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</si>
  <si>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</si>
  <si>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</si>
  <si>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</si>
  <si>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</si>
  <si>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</si>
  <si>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</si>
  <si>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</si>
  <si>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</si>
  <si>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</si>
  <si>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</si>
  <si>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</si>
  <si>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</si>
  <si>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</si>
  <si>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</si>
  <si>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</si>
  <si>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</si>
  <si>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</si>
  <si>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</si>
  <si>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</si>
  <si>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</si>
  <si>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</si>
  <si>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</si>
  <si>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</si>
  <si>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</si>
  <si>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</si>
  <si>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</si>
  <si>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</si>
  <si>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</si>
  <si>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</si>
  <si>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</si>
  <si>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</si>
  <si>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</si>
  <si>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</si>
  <si>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</si>
  <si>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</si>
  <si>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</si>
  <si>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</si>
  <si>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</si>
  <si>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</si>
  <si>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</si>
  <si>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</si>
  <si>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</si>
  <si>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</si>
  <si>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</si>
  <si>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</si>
  <si>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</si>
  <si>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</si>
  <si>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</si>
  <si>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</si>
  <si>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</si>
  <si>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</si>
  <si>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</si>
  <si>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</si>
  <si>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</si>
  <si>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</si>
  <si>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</si>
  <si>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</si>
  <si>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</si>
  <si>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</si>
  <si>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</si>
  <si>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</si>
  <si>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</si>
  <si>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</si>
  <si>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</si>
  <si>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</si>
  <si>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</si>
  <si>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</si>
  <si>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</si>
  <si>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</si>
  <si>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</si>
  <si>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</si>
  <si>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</si>
  <si>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</si>
  <si>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</si>
  <si>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</si>
  <si>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</si>
  <si>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</si>
  <si>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</si>
  <si>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</si>
  <si>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</si>
  <si>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</si>
  <si>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</si>
  <si>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</si>
  <si>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</si>
  <si>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</si>
  <si>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</si>
  <si>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</si>
  <si>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</si>
  <si>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</si>
  <si>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</si>
  <si>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</si>
  <si>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</si>
  <si>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</si>
  <si>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</si>
  <si>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</si>
  <si>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</si>
  <si>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</si>
  <si>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</si>
  <si>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</si>
  <si>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</si>
  <si>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</si>
  <si>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</si>
  <si>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</si>
  <si>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</si>
  <si>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</si>
  <si>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</si>
  <si>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</si>
  <si>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</si>
  <si>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</si>
  <si>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</si>
  <si>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</si>
  <si>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</si>
  <si>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</si>
  <si>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</si>
  <si>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</si>
  <si>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</si>
  <si>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</si>
  <si>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</si>
  <si>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</si>
  <si>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</si>
  <si>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</si>
  <si>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</si>
  <si>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</si>
  <si>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</si>
  <si>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</si>
  <si>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</si>
  <si>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</si>
  <si>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</si>
  <si>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</si>
  <si>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</si>
  <si>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</si>
  <si>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</si>
  <si>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</si>
  <si>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</si>
  <si>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</si>
  <si>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</si>
  <si>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</si>
  <si>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</si>
  <si>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</si>
  <si>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</si>
  <si>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</si>
  <si>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</si>
  <si>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</si>
  <si>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</si>
  <si>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</si>
  <si>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</si>
  <si>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</si>
  <si>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</si>
  <si>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</si>
  <si>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</si>
  <si>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</si>
  <si>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</si>
  <si>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</si>
  <si>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</si>
  <si>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</si>
  <si>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</si>
  <si>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</si>
  <si>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</si>
  <si>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</si>
  <si>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</si>
  <si>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</si>
  <si>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</si>
  <si>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</si>
  <si>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</si>
  <si>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</si>
  <si>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</si>
  <si>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</si>
  <si>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</si>
  <si>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</si>
  <si>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</si>
  <si>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</si>
  <si>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</si>
  <si>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</si>
  <si>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</si>
  <si>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</si>
  <si>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</si>
  <si>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</si>
  <si>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</si>
  <si>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</si>
  <si>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</si>
  <si>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</si>
  <si>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</si>
  <si>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</si>
  <si>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</si>
  <si>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</si>
  <si>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</si>
  <si>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</si>
  <si>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</si>
  <si>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</si>
  <si>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</si>
  <si>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</si>
  <si>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</si>
  <si>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</si>
  <si>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</si>
  <si>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</si>
  <si>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</si>
  <si>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</si>
  <si>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</si>
  <si>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</si>
  <si>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</si>
  <si>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</si>
  <si>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</si>
  <si>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</si>
  <si>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</si>
  <si>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</si>
  <si>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</si>
  <si>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</si>
  <si>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</si>
  <si>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</si>
  <si>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</si>
  <si>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</si>
  <si>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</si>
  <si>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</si>
  <si>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</si>
  <si>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</si>
  <si>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</si>
  <si>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</si>
  <si>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</si>
  <si>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</si>
  <si>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</si>
  <si>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</si>
  <si>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</si>
  <si>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</si>
  <si>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</si>
  <si>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</si>
  <si>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</si>
  <si>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</si>
  <si>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</si>
  <si>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</si>
  <si>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</si>
  <si>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</si>
  <si>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</si>
  <si>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</si>
  <si>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</si>
  <si>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</si>
  <si>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</si>
  <si>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</si>
  <si>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</si>
  <si>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</si>
  <si>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</si>
  <si>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</si>
  <si>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</si>
  <si>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</si>
  <si>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</si>
  <si>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</si>
  <si>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</si>
  <si>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</si>
  <si>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</si>
  <si>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</si>
  <si>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</si>
  <si>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</si>
  <si>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</si>
  <si>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</si>
  <si>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</si>
  <si>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</si>
  <si>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</si>
  <si>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</si>
  <si>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</si>
  <si>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</si>
  <si>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</si>
  <si>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</si>
  <si>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</si>
  <si>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</si>
  <si>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</si>
  <si>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</si>
  <si>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</si>
  <si>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</si>
  <si>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</si>
  <si>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</si>
  <si>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</si>
  <si>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</si>
  <si>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</si>
  <si>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</si>
  <si>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</si>
  <si>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</si>
  <si>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</si>
  <si>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</si>
  <si>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</si>
  <si>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</si>
  <si>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</si>
  <si>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</si>
  <si>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</si>
  <si>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</si>
  <si>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</si>
  <si>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</si>
  <si>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</si>
  <si>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</si>
  <si>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</si>
  <si>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</si>
  <si>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</si>
  <si>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</si>
  <si>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</si>
  <si>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</si>
  <si>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</si>
  <si>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</si>
  <si>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</si>
  <si>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</si>
  <si>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</si>
  <si>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</si>
  <si>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</si>
  <si>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</si>
  <si>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</si>
  <si>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</si>
  <si>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</si>
  <si>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</si>
  <si>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</si>
  <si>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</si>
  <si>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</si>
  <si>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</si>
  <si>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</si>
  <si>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</si>
  <si>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</si>
  <si>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</si>
  <si>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</si>
  <si>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</si>
  <si>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</si>
  <si>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</si>
  <si>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</si>
  <si>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</si>
  <si>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</si>
  <si>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</si>
  <si>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</si>
  <si>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</si>
  <si>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</si>
  <si>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</si>
  <si>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</si>
  <si>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</si>
  <si>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</si>
  <si>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</si>
  <si>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</si>
  <si>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</si>
  <si>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</si>
  <si>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</si>
  <si>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</si>
  <si>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</si>
  <si>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</si>
  <si>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</si>
  <si>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</si>
  <si>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</si>
  <si>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</si>
  <si>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</si>
  <si>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</si>
  <si>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</si>
  <si>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</si>
  <si>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</si>
  <si>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</si>
  <si>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</si>
  <si>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</si>
  <si>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</si>
  <si>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</si>
  <si>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</si>
  <si>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</si>
  <si>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</si>
  <si>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</si>
  <si>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</si>
  <si>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</si>
  <si>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</si>
  <si>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</si>
  <si>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</si>
  <si>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</si>
  <si>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</si>
  <si>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</si>
  <si>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</si>
  <si>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</si>
  <si>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</si>
  <si>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</si>
  <si>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</si>
  <si>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</si>
  <si>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</si>
  <si>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</si>
  <si>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</si>
  <si>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</si>
  <si>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</si>
  <si>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</si>
  <si>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</si>
  <si>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</si>
  <si>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</si>
  <si>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</si>
  <si>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</si>
  <si>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</si>
  <si>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</si>
  <si>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</si>
  <si>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</si>
  <si>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</si>
  <si>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</si>
  <si>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</si>
  <si>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</si>
  <si>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</si>
  <si>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</si>
  <si>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</si>
  <si>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</si>
  <si>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</si>
  <si>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</si>
  <si>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</si>
  <si>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</si>
  <si>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</si>
  <si>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</si>
  <si>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</si>
  <si>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</si>
  <si>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</si>
  <si>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</si>
  <si>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</si>
  <si>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</si>
  <si>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</si>
  <si>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</si>
  <si>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</si>
  <si>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</si>
  <si>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</si>
  <si>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</si>
  <si>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</si>
  <si>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</si>
  <si>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</si>
  <si>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</si>
  <si>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</si>
  <si>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</si>
  <si>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</si>
  <si>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</si>
  <si>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</si>
  <si>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</si>
  <si>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</si>
  <si>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</si>
  <si>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</si>
  <si>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</si>
  <si>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</si>
  <si>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</si>
  <si>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</si>
  <si>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</si>
  <si>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</si>
  <si>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</si>
  <si>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</si>
  <si>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</si>
  <si>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</si>
  <si>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</si>
  <si>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</si>
  <si>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</si>
  <si>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</si>
  <si>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</si>
  <si>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</si>
  <si>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</si>
  <si>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</si>
  <si>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</si>
  <si>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</si>
  <si>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</si>
  <si>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</si>
  <si>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</si>
  <si>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</si>
  <si>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</si>
  <si>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</si>
  <si>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</si>
  <si>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</si>
  <si>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</si>
  <si>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</si>
  <si>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</si>
  <si>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</si>
  <si>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</si>
  <si>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</si>
  <si>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</si>
  <si>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</si>
  <si>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</si>
  <si>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</si>
  <si>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</si>
  <si>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</si>
  <si>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</si>
  <si>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</si>
  <si>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</si>
  <si>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</si>
  <si>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</si>
  <si>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</si>
  <si>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</si>
  <si>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</si>
  <si>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</si>
  <si>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</si>
  <si>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</si>
  <si>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</si>
  <si>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</si>
  <si>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</si>
  <si>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</si>
  <si>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</si>
  <si>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</si>
  <si>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</si>
  <si>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</si>
  <si>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</si>
  <si>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</si>
  <si>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</si>
  <si>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</si>
  <si>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</si>
  <si>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</si>
  <si>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</si>
  <si>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</si>
  <si>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</si>
  <si>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</si>
  <si>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</si>
  <si>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</si>
  <si>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</si>
  <si>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</si>
  <si>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</si>
  <si>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</si>
  <si>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</si>
  <si>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</si>
  <si>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</si>
  <si>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</si>
  <si>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</si>
  <si>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</si>
  <si>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</si>
  <si>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</si>
  <si>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</si>
  <si>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</si>
  <si>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</si>
  <si>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</si>
  <si>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</si>
  <si>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</si>
  <si>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</si>
  <si>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</si>
  <si>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</si>
  <si>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</si>
  <si>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</si>
  <si>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</si>
  <si>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</si>
  <si>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</si>
  <si>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</si>
  <si>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</si>
  <si>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</si>
  <si>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</si>
  <si>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</si>
  <si>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</si>
  <si>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</si>
  <si>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</si>
  <si>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</si>
  <si>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</si>
  <si>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</si>
  <si>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</si>
  <si>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</si>
  <si>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</si>
  <si>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</si>
  <si>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</si>
  <si>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</si>
  <si>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</si>
  <si>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</si>
  <si>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</si>
  <si>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</si>
  <si>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</si>
  <si>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</si>
  <si>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</si>
  <si>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</si>
  <si>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</si>
  <si>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</si>
  <si>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</si>
  <si>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</si>
  <si>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</si>
  <si>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</si>
  <si>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</si>
  <si>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</si>
  <si>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</si>
  <si>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</si>
  <si>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</si>
  <si>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</si>
  <si>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</si>
  <si>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</si>
  <si>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</si>
  <si>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</si>
  <si>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</si>
  <si>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</si>
  <si>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</si>
  <si>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</si>
  <si>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</si>
  <si>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</si>
  <si>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</si>
  <si>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</si>
  <si>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</si>
  <si>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</si>
  <si>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</si>
  <si>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</si>
  <si>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</si>
  <si>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</si>
  <si>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</si>
  <si>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</si>
  <si>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</si>
  <si>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</si>
  <si>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</si>
  <si>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</si>
  <si>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</si>
  <si>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</si>
  <si>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</si>
  <si>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</si>
  <si>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</si>
  <si>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</si>
  <si>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</si>
  <si>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</si>
  <si>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</si>
  <si>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</si>
  <si>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</si>
  <si>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</si>
  <si>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</si>
  <si>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</si>
  <si>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</si>
  <si>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</si>
  <si>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</si>
  <si>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</si>
  <si>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</si>
  <si>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</si>
  <si>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</si>
  <si>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</si>
  <si>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</si>
  <si>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</si>
  <si>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</si>
  <si>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</si>
  <si>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</si>
  <si>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</si>
  <si>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</si>
  <si>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</si>
  <si>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</si>
  <si>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</si>
  <si>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</si>
  <si>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</si>
  <si>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</si>
  <si>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</si>
  <si>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</si>
  <si>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</si>
  <si>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</si>
  <si>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</si>
  <si>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</si>
  <si>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</si>
  <si>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</si>
  <si>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</si>
  <si>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</si>
  <si>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</si>
  <si>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</si>
  <si>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</si>
  <si>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</si>
  <si>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</si>
  <si>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</si>
  <si>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</si>
  <si>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</si>
  <si>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</si>
  <si>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</si>
  <si>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</si>
  <si>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</si>
  <si>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</si>
  <si>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</si>
  <si>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</si>
  <si>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</si>
  <si>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</si>
  <si>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</si>
  <si>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</si>
  <si>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</si>
  <si>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</si>
  <si>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</si>
  <si>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</si>
  <si>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</si>
  <si>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</si>
  <si>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</si>
  <si>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</si>
  <si>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</si>
  <si>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</si>
  <si>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</si>
  <si>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</si>
  <si>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</si>
  <si>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</si>
  <si>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</si>
  <si>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</si>
  <si>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</si>
  <si>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</si>
  <si>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</si>
  <si>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</si>
  <si>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</si>
  <si>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</si>
  <si>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</si>
  <si>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</si>
  <si>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</si>
  <si>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</si>
  <si>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</si>
  <si>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</si>
  <si>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</si>
  <si>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</si>
  <si>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</si>
  <si>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</si>
  <si>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</si>
  <si>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</si>
  <si>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</si>
  <si>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</si>
  <si>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</si>
  <si>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</si>
  <si>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</si>
  <si>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</si>
  <si>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</si>
  <si>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</si>
  <si>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</si>
  <si>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</si>
  <si>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</si>
  <si>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</si>
  <si>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</si>
  <si>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</si>
  <si>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</si>
  <si>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</si>
  <si>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</si>
  <si>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</si>
  <si>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</si>
  <si>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</si>
  <si>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</si>
  <si>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</si>
  <si>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</si>
  <si>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</si>
  <si>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</si>
  <si>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</si>
  <si>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</si>
  <si>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</si>
  <si>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</si>
  <si>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</si>
  <si>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</si>
  <si>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</si>
  <si>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</si>
  <si>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</si>
  <si>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</si>
  <si>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</si>
  <si>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</si>
  <si>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</si>
  <si>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</si>
  <si>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</si>
  <si>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</si>
  <si>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</si>
  <si>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</si>
  <si>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</si>
  <si>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</si>
  <si>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</si>
  <si>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</si>
  <si>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</si>
  <si>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</si>
  <si>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</si>
  <si>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</si>
  <si>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</si>
  <si>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</si>
  <si>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</si>
  <si>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</si>
  <si>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</si>
  <si>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</si>
  <si>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</si>
  <si>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</si>
  <si>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</si>
  <si>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</si>
  <si>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</si>
  <si>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</si>
  <si>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</si>
  <si>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</si>
  <si>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</si>
  <si>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</si>
  <si>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</si>
  <si>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</si>
  <si>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</si>
  <si>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</si>
  <si>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</si>
  <si>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</si>
  <si>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</si>
  <si>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</si>
  <si>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</si>
  <si>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</si>
  <si>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</si>
  <si>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</si>
  <si>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</si>
  <si>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</si>
  <si>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</si>
  <si>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</si>
  <si>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</si>
  <si>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</si>
  <si>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</si>
  <si>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</si>
  <si>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</si>
  <si>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</si>
  <si>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</si>
  <si>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</si>
  <si>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</si>
  <si>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</si>
  <si>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</si>
  <si>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</si>
  <si>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</si>
  <si>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</si>
  <si>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</si>
  <si>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</si>
  <si>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</si>
  <si>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</si>
  <si>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</si>
  <si>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</si>
  <si>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</si>
  <si>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</si>
  <si>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</si>
  <si>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</si>
  <si>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</si>
  <si>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</si>
  <si>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</si>
  <si>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</si>
  <si>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</si>
  <si>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</si>
  <si>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</si>
  <si>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</si>
  <si>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</si>
  <si>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</si>
  <si>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</si>
  <si>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</si>
  <si>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</si>
  <si>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</si>
  <si>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</si>
  <si>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</si>
  <si>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</si>
  <si>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</si>
  <si>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</si>
  <si>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</si>
  <si>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</si>
  <si>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</si>
  <si>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</si>
  <si>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</si>
  <si>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</si>
  <si>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</si>
  <si>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</si>
  <si>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</si>
  <si>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</si>
  <si>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</si>
  <si>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</si>
  <si>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</si>
  <si>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</si>
  <si>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</si>
  <si>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</si>
  <si>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</si>
  <si>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</si>
  <si>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</si>
  <si>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</si>
  <si>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</si>
  <si>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</si>
  <si>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</si>
  <si>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</si>
  <si>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</si>
  <si>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</si>
  <si>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</si>
  <si>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</si>
  <si>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</si>
  <si>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</si>
  <si>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</si>
  <si>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</si>
  <si>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</si>
  <si>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</si>
  <si>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</si>
  <si>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</si>
  <si>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</si>
  <si>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</si>
  <si>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</si>
  <si>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</si>
  <si>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</si>
  <si>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</si>
  <si>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</si>
  <si>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</si>
  <si>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</si>
  <si>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</si>
  <si>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</si>
  <si>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</si>
  <si>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</si>
  <si>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</si>
  <si>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</si>
  <si>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</si>
  <si>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</si>
  <si>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</si>
  <si>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</si>
  <si>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</si>
  <si>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</si>
  <si>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</si>
  <si>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</si>
  <si>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</si>
  <si>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</si>
  <si>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</si>
  <si>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</si>
  <si>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</si>
  <si>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</si>
  <si>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</si>
  <si>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</si>
  <si>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</si>
  <si>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</si>
  <si>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</si>
  <si>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</si>
  <si>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</si>
  <si>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</si>
  <si>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</si>
  <si>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</si>
  <si>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</si>
  <si>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</si>
  <si>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</si>
  <si>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</si>
  <si>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</si>
  <si>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</si>
  <si>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</si>
  <si>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</si>
  <si>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</si>
  <si>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</si>
  <si>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</si>
  <si>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</si>
  <si>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</si>
  <si>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</si>
  <si>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</si>
  <si>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</si>
  <si>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</si>
  <si>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</si>
  <si>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</si>
  <si>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</si>
  <si>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</si>
  <si>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</si>
  <si>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</si>
  <si>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</si>
  <si>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</si>
  <si>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</si>
  <si>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</si>
  <si>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</si>
  <si>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</si>
  <si>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</si>
  <si>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</si>
  <si>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</si>
  <si>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</si>
  <si>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</si>
  <si>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</si>
  <si>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</si>
  <si>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</si>
  <si>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</si>
  <si>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</si>
  <si>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</si>
  <si>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</si>
  <si>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</si>
  <si>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</si>
  <si>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</si>
  <si>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</si>
  <si>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</si>
  <si>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</si>
  <si>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</si>
  <si>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</si>
  <si>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</si>
  <si>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</si>
  <si>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</si>
  <si>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</si>
  <si>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</si>
  <si>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</si>
  <si>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</si>
  <si>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</si>
  <si>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</si>
  <si>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</si>
  <si>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</si>
  <si>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</si>
  <si>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</si>
  <si>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</si>
  <si>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</si>
  <si>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</si>
  <si>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</si>
  <si>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</si>
  <si>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</si>
  <si>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</si>
  <si>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</si>
  <si>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</si>
  <si>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</si>
  <si>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</si>
  <si>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</si>
  <si>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</si>
  <si>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</si>
  <si>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</si>
  <si>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</si>
  <si>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</si>
  <si>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</si>
  <si>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</si>
  <si>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</si>
  <si>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</si>
  <si>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</si>
  <si>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</si>
  <si>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</si>
  <si>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</si>
  <si>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</si>
  <si>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</si>
  <si>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</si>
  <si>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</si>
  <si>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</si>
  <si>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</si>
  <si>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</si>
  <si>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</si>
  <si>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</si>
  <si>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</si>
  <si>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</si>
  <si>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</si>
  <si>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</si>
  <si>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</si>
  <si>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</si>
  <si>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</si>
  <si>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</si>
  <si>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</si>
  <si>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</si>
  <si>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</si>
  <si>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</si>
  <si>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</si>
  <si>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</si>
  <si>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</si>
  <si>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</si>
  <si>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</si>
  <si>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</si>
  <si>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</si>
  <si>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</si>
  <si>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</si>
  <si>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</si>
  <si>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</si>
  <si>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</si>
  <si>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</si>
  <si>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</si>
  <si>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</si>
  <si>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</si>
  <si>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</si>
  <si>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</si>
  <si>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</si>
  <si>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</si>
  <si>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</si>
  <si>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</si>
  <si>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</si>
  <si>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</si>
  <si>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</si>
  <si>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</si>
  <si>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</si>
  <si>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</si>
  <si>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</si>
  <si>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</si>
  <si>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</si>
  <si>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</si>
  <si>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</si>
  <si>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</si>
  <si>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</si>
  <si>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</si>
  <si>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</si>
  <si>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</si>
  <si>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</si>
  <si>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</si>
  <si>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</si>
  <si>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</si>
  <si>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</si>
  <si>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</si>
  <si>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</si>
  <si>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</si>
  <si>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</si>
  <si>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</si>
  <si>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</si>
  <si>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</si>
  <si>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</si>
  <si>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</si>
  <si>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</si>
  <si>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</si>
  <si>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</si>
  <si>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</si>
  <si>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</si>
  <si>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</si>
  <si>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</si>
  <si>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</si>
  <si>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</si>
  <si>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</si>
  <si>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</si>
  <si>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</si>
  <si>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</si>
  <si>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</si>
  <si>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</si>
  <si>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</si>
  <si>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</si>
  <si>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</si>
  <si>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</si>
  <si>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</si>
  <si>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</si>
  <si>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</si>
  <si>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</si>
  <si>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</si>
  <si>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</si>
  <si>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</si>
  <si>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</si>
  <si>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</si>
  <si>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</si>
  <si>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</si>
  <si>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</si>
  <si>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</si>
  <si>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</si>
  <si>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</si>
  <si>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</si>
  <si>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</si>
  <si>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</si>
  <si>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</si>
  <si>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</si>
  <si>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</si>
  <si>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</si>
  <si>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</si>
  <si>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</si>
  <si>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</si>
  <si>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</si>
  <si>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</si>
  <si>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</si>
  <si>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</si>
  <si>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</si>
  <si>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</si>
  <si>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</si>
  <si>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</si>
  <si>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</si>
  <si>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</si>
  <si>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</si>
  <si>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</si>
  <si>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</si>
  <si>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</si>
  <si>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</si>
  <si>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</si>
  <si>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</si>
  <si>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</si>
  <si>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</si>
  <si>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</si>
  <si>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</si>
  <si>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</si>
  <si>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</si>
  <si>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</si>
  <si>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</si>
  <si>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</si>
  <si>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</si>
  <si>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</si>
  <si>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</si>
  <si>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</si>
  <si>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</si>
  <si>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</si>
  <si>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</si>
  <si>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</si>
  <si>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</si>
  <si>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</si>
  <si>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</si>
  <si>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</si>
  <si>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</si>
  <si>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</si>
  <si>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</si>
  <si>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</si>
  <si>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</si>
  <si>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</si>
  <si>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</si>
  <si>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</si>
  <si>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</si>
  <si>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</si>
  <si>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</si>
  <si>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</si>
  <si>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</si>
  <si>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</si>
  <si>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</si>
  <si>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</si>
  <si>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</si>
  <si>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</si>
  <si>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</si>
  <si>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</si>
  <si>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</si>
  <si>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</si>
  <si>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</si>
  <si>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</si>
  <si>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</si>
  <si>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</si>
  <si>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</si>
  <si>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</si>
  <si>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</si>
  <si>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</si>
  <si>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</si>
  <si>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</si>
  <si>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</si>
  <si>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</si>
  <si>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</si>
  <si>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</si>
  <si>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</si>
  <si>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</si>
  <si>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</si>
  <si>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</si>
  <si>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</si>
  <si>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</si>
  <si>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</si>
  <si>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</si>
  <si>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</si>
  <si>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</si>
  <si>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</si>
  <si>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</si>
  <si>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</si>
  <si>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</si>
  <si>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</si>
  <si>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</si>
  <si>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</si>
  <si>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</si>
  <si>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</si>
  <si>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</si>
  <si>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</si>
  <si>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</si>
  <si>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</si>
  <si>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</si>
  <si>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</si>
  <si>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</si>
  <si>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</si>
  <si>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</si>
  <si>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</si>
  <si>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</si>
  <si>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</si>
  <si>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</si>
  <si>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</si>
  <si>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</si>
  <si>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</si>
  <si>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</si>
  <si>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</si>
  <si>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</si>
  <si>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</si>
  <si>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</si>
  <si>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</si>
  <si>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</si>
  <si>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</si>
  <si>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</si>
  <si>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</si>
  <si>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</si>
  <si>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</si>
  <si>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</si>
  <si>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</si>
  <si>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</si>
  <si>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</si>
  <si>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</si>
  <si>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</si>
  <si>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</si>
  <si>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</si>
  <si>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</si>
  <si>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</si>
  <si>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</si>
  <si>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</si>
  <si>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</si>
  <si>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</si>
  <si>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</si>
  <si>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</si>
  <si>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</si>
  <si>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</si>
  <si>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</si>
  <si>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</si>
  <si>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</si>
  <si>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</si>
  <si>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</si>
  <si>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</si>
  <si>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</si>
  <si>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</si>
  <si>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</si>
  <si>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</si>
  <si>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</si>
  <si>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</si>
  <si>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</si>
  <si>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</si>
  <si>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</si>
  <si>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</si>
  <si>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</si>
  <si>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</si>
  <si>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</si>
  <si>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</si>
  <si>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</si>
  <si>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</si>
  <si>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</si>
  <si>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</si>
  <si>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</si>
  <si>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</si>
  <si>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</si>
  <si>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</si>
  <si>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</si>
  <si>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</si>
  <si>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</si>
  <si>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</si>
  <si>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</si>
  <si>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</si>
  <si>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</si>
  <si>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</si>
  <si>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</si>
  <si>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</si>
  <si>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</si>
  <si>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</si>
  <si>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</si>
  <si>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</si>
  <si>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</si>
  <si>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</si>
  <si>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</si>
  <si>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</si>
  <si>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</si>
  <si>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</si>
  <si>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</si>
  <si>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</si>
  <si>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</si>
  <si>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</si>
  <si>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</si>
  <si>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</si>
  <si>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</si>
  <si>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</si>
  <si>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</si>
  <si>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</si>
  <si>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</si>
  <si>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</si>
  <si>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</si>
  <si>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</si>
  <si>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</si>
  <si>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</si>
  <si>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</si>
  <si>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</si>
  <si>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</si>
  <si>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</si>
  <si>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</si>
  <si>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</si>
  <si>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</si>
  <si>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</si>
  <si>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</si>
  <si>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</si>
  <si>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</si>
  <si>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</si>
  <si>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</si>
  <si>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</si>
  <si>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</si>
  <si>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</si>
  <si>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</si>
  <si>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</si>
  <si>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</si>
  <si>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</si>
  <si>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</si>
  <si>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</si>
  <si>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</si>
  <si>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</si>
  <si>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</si>
  <si>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</si>
  <si>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</si>
  <si>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</si>
  <si>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</si>
  <si>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</si>
  <si>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</si>
  <si>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</si>
  <si>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</si>
  <si>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</si>
  <si>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</si>
  <si>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</si>
  <si>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</si>
  <si>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</si>
  <si>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</si>
  <si>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</si>
  <si>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</si>
  <si>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</si>
  <si>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</si>
  <si>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</si>
  <si>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</si>
  <si>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</si>
  <si>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</si>
  <si>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</si>
  <si>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</si>
  <si>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</si>
  <si>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</si>
  <si>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</si>
  <si>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</si>
  <si>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</si>
  <si>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</si>
  <si>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</si>
  <si>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</si>
  <si>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</si>
  <si>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</si>
  <si>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</si>
  <si>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</si>
  <si>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</si>
  <si>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</si>
  <si>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</si>
  <si>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</si>
  <si>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</si>
  <si>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</si>
  <si>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</si>
  <si>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</si>
  <si>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</si>
  <si>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</si>
  <si>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</si>
  <si>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</si>
  <si>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</si>
  <si>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</si>
  <si>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</si>
  <si>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</si>
  <si>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</si>
  <si>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</si>
  <si>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</si>
  <si>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</si>
  <si>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</si>
  <si>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</si>
  <si>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</si>
  <si>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</si>
  <si>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</si>
  <si>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</si>
  <si>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</si>
  <si>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</si>
  <si>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</si>
  <si>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</si>
  <si>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</si>
  <si>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</si>
  <si>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</si>
  <si>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</si>
  <si>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</si>
  <si>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</si>
  <si>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</si>
  <si>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</si>
  <si>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</si>
  <si>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</si>
  <si>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</si>
  <si>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</si>
  <si>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</si>
  <si>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</si>
  <si>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</si>
  <si>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</si>
  <si>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</si>
  <si>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</si>
  <si>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</si>
  <si>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</si>
  <si>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</si>
  <si>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</si>
  <si>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</si>
  <si>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</si>
  <si>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</si>
  <si>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</si>
  <si>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</si>
  <si>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</si>
  <si>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</si>
  <si>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</si>
  <si>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</si>
  <si>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</si>
  <si>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</si>
  <si>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</si>
  <si>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</si>
  <si>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</si>
  <si>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</si>
  <si>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</si>
  <si>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</si>
  <si>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</si>
  <si>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</si>
  <si>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</si>
  <si>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</si>
  <si>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</si>
  <si>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</si>
  <si>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</si>
  <si>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</si>
  <si>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</si>
  <si>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</si>
  <si>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</si>
  <si>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</si>
  <si>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</si>
  <si>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</si>
  <si>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</si>
  <si>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</si>
  <si>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</si>
  <si>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</si>
  <si>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</si>
  <si>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</si>
  <si>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</si>
  <si>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</si>
  <si>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</si>
  <si>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</si>
  <si>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</si>
  <si>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</si>
  <si>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</si>
  <si>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</si>
  <si>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</si>
  <si>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</si>
  <si>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</si>
  <si>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</si>
  <si>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</si>
  <si>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</si>
  <si>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</si>
  <si>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</si>
  <si>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</si>
  <si>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</si>
  <si>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</si>
  <si>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</si>
  <si>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</si>
  <si>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</si>
  <si>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</si>
  <si>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</si>
  <si>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</si>
  <si>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</si>
  <si>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</si>
  <si>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</si>
  <si>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</si>
  <si>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</si>
  <si>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</si>
  <si>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</si>
  <si>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</si>
  <si>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</si>
  <si>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</si>
  <si>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</si>
  <si>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</si>
  <si>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</si>
  <si>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</si>
  <si>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</si>
  <si>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</si>
  <si>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</si>
  <si>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</si>
  <si>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</si>
  <si>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</si>
  <si>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</si>
  <si>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</si>
  <si>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</si>
  <si>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</si>
  <si>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</si>
  <si>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</si>
  <si>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</si>
  <si>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</si>
  <si>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</si>
  <si>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</si>
  <si>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</si>
  <si>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</si>
  <si>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</si>
  <si>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</si>
  <si>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</si>
  <si>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</si>
  <si>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</si>
  <si>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</si>
  <si>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</si>
  <si>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</si>
  <si>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</si>
  <si>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</si>
  <si>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</si>
  <si>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</si>
  <si>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</si>
  <si>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</si>
  <si>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</si>
  <si>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</si>
  <si>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</si>
  <si>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</si>
  <si>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</si>
  <si>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</si>
  <si>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</si>
  <si>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</si>
  <si>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</si>
  <si>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</si>
  <si>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</si>
  <si>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</si>
  <si>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</si>
  <si>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</si>
  <si>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</si>
  <si>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</si>
  <si>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</si>
  <si>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</si>
  <si>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</si>
  <si>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</si>
  <si>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</si>
  <si>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</si>
  <si>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</si>
  <si>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</si>
  <si>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</si>
  <si>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</si>
  <si>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</si>
  <si>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</si>
  <si>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</si>
  <si>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</si>
  <si>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</si>
  <si>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</si>
  <si>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</si>
  <si>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</si>
  <si>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</si>
  <si>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</si>
  <si>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</si>
  <si>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</si>
  <si>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</si>
  <si>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</si>
  <si>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</si>
  <si>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</si>
  <si>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</si>
  <si>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</si>
  <si>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</si>
  <si>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</si>
  <si>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</si>
  <si>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</si>
  <si>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</si>
  <si>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</si>
  <si>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</si>
  <si>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</si>
  <si>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</si>
  <si>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</si>
  <si>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</si>
  <si>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</si>
  <si>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</si>
  <si>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</si>
  <si>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</si>
  <si>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</si>
  <si>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</si>
  <si>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</si>
  <si>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</si>
  <si>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</si>
  <si>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</si>
  <si>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</si>
  <si>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</si>
  <si>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</si>
  <si>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</si>
  <si>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</si>
  <si>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</si>
  <si>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</si>
  <si>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</si>
  <si>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</si>
  <si>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</si>
  <si>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</si>
  <si>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</si>
  <si>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</si>
  <si>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</si>
  <si>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</si>
  <si>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</si>
  <si>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</si>
  <si>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</si>
  <si>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</si>
  <si>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</si>
  <si>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</si>
  <si>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</si>
  <si>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</si>
  <si>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</si>
  <si>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</si>
  <si>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</si>
  <si>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</si>
  <si>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</si>
  <si>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</si>
  <si>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</si>
  <si>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</si>
  <si>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</si>
  <si>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</si>
  <si>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</si>
  <si>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</si>
  <si>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</si>
  <si>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</si>
  <si>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</si>
  <si>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</si>
  <si>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</si>
  <si>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</si>
  <si>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</si>
  <si>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</si>
  <si>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</si>
  <si>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</si>
  <si>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</si>
  <si>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</si>
  <si>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</si>
  <si>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</si>
  <si>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</si>
  <si>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</si>
  <si>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</si>
  <si>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</si>
  <si>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</si>
  <si>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</si>
  <si>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</si>
  <si>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</si>
  <si>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</si>
  <si>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</si>
  <si>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</si>
  <si>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</si>
  <si>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</si>
  <si>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</si>
  <si>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</si>
  <si>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</si>
  <si>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</si>
  <si>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</si>
  <si>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</si>
  <si>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</si>
  <si>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</si>
  <si>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</si>
  <si>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</si>
  <si>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</si>
  <si>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</si>
  <si>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</si>
  <si>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</si>
  <si>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</si>
  <si>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</si>
  <si>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</si>
  <si>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</si>
  <si>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</si>
  <si>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</si>
  <si>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</si>
  <si>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</si>
  <si>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</si>
  <si>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</si>
  <si>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</si>
  <si>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</si>
  <si>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</si>
  <si>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</si>
  <si>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</si>
  <si>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</si>
  <si>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</si>
  <si>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</si>
  <si>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</si>
  <si>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</si>
  <si>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</si>
  <si>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</si>
  <si>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</si>
  <si>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</si>
  <si>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</si>
  <si>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</si>
  <si>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</si>
  <si>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</si>
  <si>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</si>
  <si>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</si>
  <si>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</si>
  <si>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</si>
  <si>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</si>
  <si>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</si>
  <si>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</si>
  <si>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</si>
  <si>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</si>
  <si>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</si>
  <si>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</si>
  <si>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</si>
  <si>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</si>
  <si>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</si>
  <si>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</si>
  <si>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</si>
  <si>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</si>
  <si>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</si>
  <si>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</si>
  <si>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</si>
  <si>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</si>
  <si>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</si>
  <si>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</si>
  <si>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</si>
  <si>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</si>
  <si>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</si>
  <si>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</si>
  <si>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</si>
  <si>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</si>
  <si>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</si>
  <si>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</si>
  <si>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</si>
  <si>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</si>
  <si>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</si>
  <si>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</si>
  <si>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</si>
  <si>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</si>
  <si>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</si>
  <si>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</si>
  <si>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</si>
  <si>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</si>
  <si>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</si>
  <si>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</si>
  <si>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</si>
  <si>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</si>
  <si>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</si>
  <si>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</si>
  <si>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</si>
  <si>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</si>
  <si>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</si>
  <si>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</si>
  <si>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</si>
  <si>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</si>
  <si>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</si>
  <si>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</si>
  <si>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</si>
  <si>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</si>
  <si>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</si>
  <si>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</si>
  <si>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</si>
  <si>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</si>
  <si>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</si>
  <si>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</si>
  <si>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</si>
  <si>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</si>
  <si>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</si>
  <si>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</si>
  <si>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</si>
  <si>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</si>
  <si>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</si>
  <si>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</si>
  <si>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</si>
  <si>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</si>
  <si>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</si>
  <si>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</si>
  <si>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</si>
  <si>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</si>
  <si>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</si>
  <si>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</si>
  <si>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</si>
  <si>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</si>
  <si>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</si>
  <si>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</si>
  <si>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</si>
  <si>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</si>
  <si>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</si>
  <si>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</si>
  <si>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</si>
  <si>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</si>
  <si>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</si>
  <si>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</si>
  <si>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</si>
  <si>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</si>
  <si>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</si>
  <si>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</si>
  <si>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</si>
  <si>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</si>
  <si>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</si>
  <si>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</si>
  <si>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</si>
  <si>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</si>
  <si>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</si>
  <si>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</si>
  <si>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</si>
  <si>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</si>
  <si>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</si>
  <si>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</si>
  <si>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</si>
  <si>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</si>
  <si>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</si>
  <si>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</si>
  <si>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</si>
  <si>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</si>
  <si>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</si>
  <si>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</si>
  <si>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</si>
  <si>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</si>
  <si>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</si>
  <si>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</si>
  <si>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</si>
  <si>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</si>
  <si>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</si>
  <si>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</si>
  <si>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</si>
  <si>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</si>
  <si>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</si>
  <si>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</si>
  <si>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</si>
  <si>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</si>
  <si>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</si>
  <si>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</si>
  <si>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</si>
  <si>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</si>
  <si>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</si>
  <si>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</si>
  <si>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</si>
  <si>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</si>
  <si>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</si>
  <si>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</si>
  <si>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</si>
  <si>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</si>
  <si>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</si>
  <si>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</si>
  <si>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</si>
  <si>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</si>
  <si>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</si>
  <si>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</si>
  <si>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</si>
  <si>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</si>
  <si>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</si>
  <si>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</si>
  <si>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</si>
  <si>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</si>
  <si>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</si>
  <si>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</si>
  <si>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</si>
  <si>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</si>
  <si>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</si>
  <si>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</si>
  <si>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</si>
  <si>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</si>
  <si>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</si>
  <si>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</si>
  <si>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</si>
  <si>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</si>
  <si>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</si>
  <si>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</si>
  <si>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</si>
  <si>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</si>
  <si>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</si>
  <si>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</si>
  <si>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</si>
  <si>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</si>
  <si>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</si>
  <si>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</si>
  <si>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</si>
  <si>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</si>
  <si>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</si>
  <si>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</si>
  <si>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</si>
  <si>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</si>
  <si>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</si>
  <si>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</si>
  <si>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</si>
  <si>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</si>
  <si>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</si>
  <si>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</si>
  <si>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</si>
  <si>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</si>
  <si>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</si>
  <si>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</si>
  <si>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</si>
  <si>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</si>
  <si>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</si>
  <si>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</si>
  <si>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</si>
  <si>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</si>
  <si>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</si>
  <si>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</si>
  <si>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</si>
  <si>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</si>
  <si>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</si>
  <si>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</si>
  <si>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</si>
  <si>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</si>
  <si>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</si>
  <si>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</si>
  <si>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</si>
  <si>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</si>
  <si>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</si>
  <si>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</si>
  <si>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</si>
  <si>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</si>
  <si>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</si>
  <si>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</si>
  <si>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</si>
  <si>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</si>
  <si>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</si>
  <si>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</si>
  <si>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</si>
  <si>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</si>
  <si>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</si>
  <si>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</si>
  <si>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</si>
  <si>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</si>
  <si>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</si>
  <si>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</si>
  <si>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</si>
  <si>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</si>
  <si>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</si>
  <si>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</si>
  <si>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</si>
  <si>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</si>
  <si>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</si>
  <si>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</si>
  <si>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</si>
  <si>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</si>
  <si>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</si>
  <si>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</si>
  <si>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</si>
  <si>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</si>
  <si>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</si>
  <si>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</si>
  <si>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</si>
  <si>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</si>
  <si>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</si>
  <si>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</si>
  <si>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</si>
  <si>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</si>
  <si>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</si>
  <si>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</si>
  <si>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</si>
  <si>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</si>
  <si>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</si>
  <si>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</si>
  <si>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</si>
  <si>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</si>
  <si>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</si>
  <si>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</si>
  <si>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</si>
  <si>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</si>
  <si>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</si>
  <si>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</si>
  <si>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</si>
  <si>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</si>
  <si>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</si>
  <si>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</si>
  <si>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</si>
  <si>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</si>
  <si>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</si>
  <si>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</si>
  <si>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</si>
  <si>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</si>
  <si>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</si>
  <si>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</si>
  <si>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</si>
  <si>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</si>
  <si>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</si>
  <si>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</si>
  <si>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</si>
  <si>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</si>
  <si>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</si>
  <si>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</si>
  <si>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</si>
  <si>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</si>
  <si>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</si>
  <si>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</si>
  <si>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</si>
  <si>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</si>
  <si>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</si>
  <si>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</si>
  <si>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</si>
  <si>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</si>
  <si>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</si>
  <si>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</si>
  <si>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</si>
  <si>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</si>
  <si>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</si>
  <si>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</si>
  <si>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</si>
  <si>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</si>
  <si>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</si>
  <si>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</si>
  <si>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</si>
  <si>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</si>
  <si>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</si>
  <si>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</si>
  <si>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</si>
  <si>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</si>
  <si>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</si>
  <si>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</si>
  <si>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</si>
  <si>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</si>
  <si>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</si>
  <si>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</si>
  <si>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</si>
  <si>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</si>
  <si>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</si>
  <si>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</si>
  <si>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</si>
  <si>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</si>
  <si>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</si>
  <si>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</si>
  <si>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</si>
  <si>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</si>
  <si>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</si>
  <si>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</si>
  <si>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</si>
  <si>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</si>
  <si>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</si>
  <si>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</si>
  <si>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</si>
  <si>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</si>
  <si>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</si>
  <si>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</si>
  <si>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</si>
  <si>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</si>
  <si>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</si>
  <si>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</si>
  <si>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</si>
  <si>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</si>
  <si>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</si>
  <si>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</si>
  <si>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</si>
  <si>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</si>
  <si>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</si>
  <si>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</si>
  <si>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</si>
  <si>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</si>
  <si>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</si>
  <si>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</si>
  <si>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</si>
  <si>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</si>
  <si>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</si>
  <si>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</si>
  <si>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</si>
  <si>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</si>
  <si>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</si>
  <si>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</si>
  <si>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</si>
  <si>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</si>
  <si>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</si>
  <si>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</si>
  <si>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</si>
  <si>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</si>
  <si>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</si>
  <si>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</si>
  <si>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</si>
  <si>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</si>
  <si>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</si>
  <si>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</si>
  <si>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</si>
  <si>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</si>
  <si>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</si>
  <si>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</si>
  <si>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</si>
  <si>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</si>
  <si>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</si>
  <si>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</si>
  <si>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</si>
  <si>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</si>
  <si>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</si>
  <si>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</si>
  <si>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</si>
  <si>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</si>
  <si>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</si>
  <si>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</si>
  <si>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</si>
  <si>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</si>
  <si>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</si>
  <si>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</si>
  <si>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</si>
  <si>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</si>
  <si>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</si>
  <si>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</si>
  <si>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</si>
  <si>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</si>
  <si>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</si>
  <si>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</si>
  <si>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</si>
  <si>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</si>
  <si>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</si>
  <si>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</si>
  <si>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</si>
  <si>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</si>
  <si>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</si>
  <si>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</si>
  <si>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</si>
  <si>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</si>
  <si>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</si>
  <si>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</si>
  <si>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</si>
  <si>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</si>
  <si>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</si>
  <si>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</si>
  <si>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</si>
  <si>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</si>
  <si>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</si>
  <si>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</si>
  <si>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</si>
  <si>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</si>
  <si>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</si>
  <si>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</si>
  <si>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</si>
  <si>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</si>
  <si>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</si>
  <si>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</si>
  <si>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</si>
  <si>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</si>
  <si>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</si>
  <si>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</si>
  <si>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</si>
  <si>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</si>
  <si>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</si>
  <si>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</si>
  <si>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</si>
  <si>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</si>
  <si>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</si>
  <si>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</si>
  <si>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</si>
  <si>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</si>
  <si>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</si>
  <si>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</si>
  <si>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</si>
  <si>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</si>
  <si>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</si>
  <si>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</si>
  <si>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</si>
  <si>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</si>
  <si>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</si>
  <si>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</si>
  <si>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</si>
  <si>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</si>
  <si>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</si>
  <si>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</si>
  <si>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</si>
  <si>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</si>
  <si>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</si>
  <si>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</si>
  <si>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</si>
  <si>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</si>
  <si>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</si>
  <si>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</si>
  <si>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</si>
  <si>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</si>
  <si>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</si>
  <si>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</si>
  <si>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</si>
  <si>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</si>
  <si>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</si>
  <si>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</si>
  <si>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</si>
  <si>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</si>
  <si>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</si>
  <si>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</si>
  <si>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</si>
  <si>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</si>
  <si>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</si>
  <si>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</si>
  <si>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</si>
  <si>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</si>
  <si>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</si>
  <si>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</si>
  <si>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</si>
  <si>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</si>
  <si>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</si>
  <si>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</si>
  <si>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</si>
  <si>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</si>
  <si>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</si>
  <si>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</si>
  <si>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</si>
  <si>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</si>
  <si>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</si>
  <si>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</si>
  <si>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</si>
  <si>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</si>
  <si>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</si>
  <si>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</si>
  <si>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</si>
  <si>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</si>
  <si>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</si>
  <si>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</si>
  <si>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</si>
  <si>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</si>
  <si>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</si>
  <si>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</si>
  <si>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</si>
  <si>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</si>
  <si>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</si>
  <si>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</si>
  <si>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</si>
  <si>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</si>
  <si>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</si>
  <si>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</si>
  <si>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</si>
  <si>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</si>
  <si>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</si>
  <si>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</si>
  <si>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</si>
  <si>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</si>
  <si>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</si>
  <si>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</si>
  <si>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</si>
  <si>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</si>
  <si>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</si>
  <si>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</si>
  <si>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</si>
  <si>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</si>
  <si>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</si>
  <si>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</si>
  <si>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</si>
  <si>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</si>
  <si>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</si>
  <si>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</si>
  <si>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</si>
  <si>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</si>
  <si>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</si>
  <si>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</si>
  <si>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</si>
  <si>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</si>
  <si>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</si>
  <si>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</si>
  <si>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</si>
  <si>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</si>
  <si>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</si>
  <si>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</si>
  <si>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</si>
  <si>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</si>
  <si>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</si>
  <si>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</si>
  <si>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</si>
  <si>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</si>
  <si>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</si>
  <si>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</si>
  <si>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</si>
  <si>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</si>
  <si>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</si>
  <si>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</si>
  <si>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</si>
  <si>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</si>
  <si>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</si>
  <si>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</si>
  <si>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</si>
  <si>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</si>
  <si>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</si>
  <si>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</si>
  <si>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</si>
  <si>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</si>
  <si>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</si>
  <si>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</si>
  <si>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</si>
  <si>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</si>
  <si>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</si>
  <si>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</si>
  <si>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</si>
  <si>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</si>
  <si>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</si>
  <si>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</si>
  <si>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</si>
  <si>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</si>
  <si>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</si>
  <si>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</si>
  <si>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</si>
  <si>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</si>
  <si>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</si>
  <si>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</si>
  <si>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</si>
  <si>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</si>
  <si>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</si>
  <si>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</si>
  <si>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</si>
  <si>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</si>
  <si>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</si>
  <si>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</si>
  <si>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</si>
  <si>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</si>
  <si>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</si>
  <si>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</si>
  <si>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</si>
  <si>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</si>
  <si>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</si>
  <si>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</si>
  <si>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</si>
  <si>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</si>
  <si>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</si>
  <si>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</si>
  <si>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</si>
  <si>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</si>
  <si>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</si>
  <si>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</si>
  <si>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</si>
  <si>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</si>
  <si>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</si>
  <si>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</si>
  <si>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</si>
  <si>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</si>
  <si>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</si>
  <si>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</si>
  <si>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</si>
  <si>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</si>
  <si>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</si>
  <si>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</si>
  <si>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</si>
  <si>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</si>
  <si>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</si>
  <si>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</si>
  <si>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</si>
  <si>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</si>
  <si>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</si>
  <si>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</si>
  <si>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</si>
  <si>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</si>
  <si>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</si>
  <si>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</si>
  <si>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</si>
  <si>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</si>
  <si>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</si>
  <si>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</si>
  <si>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</si>
  <si>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</si>
  <si>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</si>
  <si>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</si>
  <si>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</si>
  <si>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</si>
  <si>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</si>
  <si>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</si>
  <si>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</si>
  <si>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</si>
  <si>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</si>
  <si>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</si>
  <si>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</si>
  <si>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</si>
  <si>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</si>
  <si>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</si>
  <si>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</si>
  <si>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</si>
  <si>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</si>
  <si>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</si>
  <si>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</si>
  <si>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</si>
  <si>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</si>
  <si>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</si>
  <si>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</si>
  <si>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</si>
  <si>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</si>
  <si>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</si>
  <si>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</si>
  <si>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</si>
  <si>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</si>
  <si>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</si>
  <si>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</si>
  <si>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</si>
  <si>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</si>
  <si>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</si>
  <si>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</si>
  <si>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</si>
  <si>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</si>
  <si>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</si>
  <si>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</si>
  <si>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</si>
  <si>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</si>
  <si>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</si>
  <si>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</si>
  <si>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</si>
  <si>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</si>
  <si>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</si>
  <si>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</si>
  <si>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</si>
  <si>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</si>
  <si>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</si>
  <si>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</si>
  <si>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</si>
  <si>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</si>
  <si>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</si>
  <si>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</si>
  <si>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</si>
  <si>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</si>
  <si>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</si>
  <si>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</si>
  <si>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</si>
  <si>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</si>
  <si>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</si>
  <si>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</si>
  <si>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</si>
  <si>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</si>
  <si>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</si>
  <si>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</si>
  <si>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</si>
  <si>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</si>
  <si>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</si>
  <si>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</si>
  <si>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</si>
  <si>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</si>
  <si>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</si>
  <si>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</si>
  <si>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</si>
  <si>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</si>
  <si>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</si>
  <si>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</si>
  <si>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</si>
  <si>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</si>
  <si>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</si>
  <si>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</si>
  <si>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</si>
  <si>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</si>
  <si>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</si>
  <si>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</si>
  <si>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</si>
  <si>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</si>
  <si>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</si>
  <si>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</si>
  <si>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</si>
  <si>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</si>
  <si>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</si>
  <si>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</si>
  <si>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</si>
  <si>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</si>
  <si>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</si>
  <si>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</si>
  <si>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</si>
  <si>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</si>
  <si>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</si>
  <si>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</si>
  <si>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</si>
  <si>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</si>
  <si>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</si>
  <si>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</si>
  <si>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</si>
  <si>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</si>
  <si>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</si>
  <si>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</si>
  <si>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</si>
  <si>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</si>
  <si>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</si>
  <si>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</si>
  <si>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</si>
  <si>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</si>
  <si>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</si>
  <si>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</si>
  <si>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</si>
  <si>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</si>
  <si>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</si>
  <si>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</si>
  <si>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</si>
  <si>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</si>
  <si>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</si>
  <si>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</si>
  <si>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</si>
  <si>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</si>
  <si>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</si>
  <si>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</si>
  <si>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</si>
  <si>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</si>
  <si>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</si>
  <si>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</si>
  <si>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</si>
  <si>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</si>
  <si>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</si>
  <si>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</si>
  <si>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</si>
  <si>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</si>
  <si>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</si>
  <si>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</si>
  <si>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</si>
  <si>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</si>
  <si>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</si>
  <si>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</si>
  <si>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</si>
  <si>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</si>
  <si>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</si>
  <si>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</si>
  <si>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</si>
  <si>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</si>
  <si>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</si>
  <si>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</si>
  <si>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</si>
  <si>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</si>
  <si>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</si>
  <si>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</si>
  <si>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</si>
  <si>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</si>
  <si>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</si>
  <si>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</si>
  <si>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</si>
  <si>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</si>
  <si>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</si>
  <si>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</si>
  <si>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</si>
  <si>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</si>
  <si>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</si>
  <si>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</si>
  <si>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</si>
  <si>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</si>
  <si>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</si>
  <si>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</si>
  <si>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</si>
  <si>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</si>
  <si>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</si>
  <si>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</si>
  <si>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</si>
  <si>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</si>
  <si>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</si>
  <si>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</si>
  <si>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</si>
  <si>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</si>
  <si>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</si>
  <si>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</si>
  <si>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</si>
  <si>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</si>
  <si>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</si>
  <si>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</si>
  <si>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</si>
  <si>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</si>
  <si>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</si>
  <si>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</si>
  <si>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</si>
  <si>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</si>
  <si>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</si>
  <si>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</si>
  <si>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</si>
  <si>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</si>
  <si>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</si>
  <si>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</si>
  <si>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</si>
  <si>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</si>
  <si>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</si>
  <si>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</si>
  <si>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</si>
  <si>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</si>
  <si>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</si>
  <si>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</si>
  <si>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</si>
  <si>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</si>
  <si>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</si>
  <si>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</si>
  <si>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</si>
  <si>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</si>
  <si>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</si>
  <si>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</si>
  <si>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</si>
  <si>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</si>
  <si>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</si>
  <si>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</si>
  <si>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</si>
  <si>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</si>
  <si>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</si>
  <si>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</si>
  <si>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</si>
  <si>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</si>
  <si>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</si>
  <si>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</si>
  <si>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</si>
  <si>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</si>
  <si>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</si>
  <si>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</si>
  <si>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</si>
  <si>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</si>
  <si>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</si>
  <si>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</si>
  <si>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</si>
  <si>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</si>
  <si>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</si>
  <si>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</si>
  <si>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</si>
  <si>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</si>
  <si>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</si>
  <si>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</si>
  <si>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</si>
  <si>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</si>
  <si>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</si>
  <si>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</si>
  <si>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</si>
  <si>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</si>
  <si>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</si>
  <si>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</si>
  <si>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</si>
  <si>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</si>
  <si>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</si>
  <si>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</si>
  <si>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</si>
  <si>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</si>
  <si>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</si>
  <si>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</si>
  <si>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</si>
  <si>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</si>
  <si>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</si>
  <si>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</si>
  <si>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</si>
  <si>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</si>
  <si>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</si>
  <si>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</si>
  <si>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</si>
  <si>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</si>
  <si>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</si>
  <si>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</si>
  <si>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</si>
  <si>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</si>
  <si>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</si>
  <si>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</si>
  <si>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</si>
  <si>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</si>
  <si>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</si>
  <si>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</si>
  <si>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</si>
  <si>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</si>
  <si>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</si>
  <si>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</si>
  <si>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</si>
  <si>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</si>
  <si>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</si>
  <si>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</si>
  <si>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</si>
  <si>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</si>
  <si>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</si>
  <si>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</si>
  <si>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</si>
  <si>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</si>
  <si>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</si>
  <si>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</si>
  <si>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</si>
  <si>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</si>
  <si>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</si>
  <si>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</si>
  <si>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</si>
  <si>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</si>
  <si>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</si>
  <si>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</si>
  <si>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</si>
  <si>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</si>
  <si>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</si>
  <si>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</si>
  <si>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</si>
  <si>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</si>
  <si>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</si>
  <si>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</si>
  <si>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</si>
  <si>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</si>
  <si>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</si>
  <si>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</si>
  <si>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</si>
  <si>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</si>
  <si>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</si>
  <si>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</si>
  <si>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</si>
  <si>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</si>
  <si>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</si>
  <si>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</si>
  <si>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</si>
  <si>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</si>
  <si>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</si>
  <si>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</si>
  <si>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</si>
  <si>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</si>
  <si>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</si>
  <si>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</si>
  <si>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</si>
  <si>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</si>
  <si>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</si>
  <si>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</si>
  <si>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</si>
  <si>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</si>
  <si>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</si>
  <si>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</si>
  <si>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</si>
  <si>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</si>
  <si>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</si>
  <si>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</si>
  <si>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</si>
  <si>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</si>
  <si>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</si>
  <si>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</si>
  <si>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</si>
  <si>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</si>
  <si>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</si>
  <si>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</si>
  <si>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</si>
  <si>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</si>
  <si>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</si>
  <si>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</si>
  <si>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</si>
  <si>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</si>
  <si>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</si>
  <si>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</si>
  <si>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</si>
  <si>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</si>
  <si>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</si>
  <si>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</si>
  <si>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</si>
  <si>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</si>
  <si>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</si>
  <si>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</si>
  <si>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</si>
  <si>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</si>
  <si>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</si>
  <si>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</si>
  <si>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</si>
  <si>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</si>
  <si>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</si>
  <si>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</si>
  <si>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</si>
  <si>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</si>
  <si>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</si>
  <si>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</si>
  <si>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</si>
  <si>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</si>
  <si>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</si>
  <si>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</si>
  <si>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</si>
  <si>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</si>
  <si>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</si>
  <si>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</si>
  <si>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</si>
  <si>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</si>
  <si>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</si>
  <si>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</si>
  <si>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</si>
  <si>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</si>
  <si>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</si>
  <si>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</si>
  <si>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</si>
  <si>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</si>
  <si>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</si>
  <si>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</si>
  <si>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</si>
  <si>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</si>
  <si>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</si>
  <si>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</si>
  <si>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</si>
  <si>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</si>
  <si>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</si>
  <si>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</si>
  <si>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</si>
  <si>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</si>
  <si>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</si>
  <si>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</si>
  <si>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</si>
  <si>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</si>
  <si>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</si>
  <si>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</si>
  <si>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</si>
  <si>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</si>
  <si>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</si>
  <si>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</si>
  <si>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</si>
  <si>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</si>
  <si>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</si>
  <si>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</si>
  <si>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</si>
  <si>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</si>
  <si>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</si>
  <si>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</si>
  <si>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</si>
  <si>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</si>
  <si>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</si>
  <si>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</si>
  <si>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</si>
  <si>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</si>
  <si>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</si>
  <si>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</si>
  <si>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</si>
  <si>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</si>
  <si>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</si>
  <si>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</si>
  <si>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</si>
  <si>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</si>
  <si>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</si>
  <si>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</si>
  <si>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</si>
  <si>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</si>
  <si>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</si>
  <si>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</si>
  <si>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</si>
  <si>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</si>
  <si>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</si>
  <si>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</si>
  <si>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</si>
  <si>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</si>
  <si>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</si>
  <si>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</si>
  <si>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</si>
  <si>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</si>
  <si>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</si>
  <si>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</si>
  <si>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</si>
  <si>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</si>
  <si>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</si>
  <si>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</si>
  <si>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</si>
  <si>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</si>
  <si>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</si>
  <si>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</si>
  <si>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</si>
  <si>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</si>
  <si>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</si>
  <si>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</si>
  <si>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</si>
  <si>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</si>
  <si>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</si>
  <si>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</si>
  <si>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</si>
  <si>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</si>
  <si>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</si>
  <si>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</si>
  <si>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</si>
  <si>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</si>
  <si>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</si>
  <si>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</si>
  <si>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</si>
  <si>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</si>
  <si>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</si>
  <si>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</si>
  <si>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</si>
  <si>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</si>
  <si>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</si>
  <si>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</si>
  <si>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</si>
  <si>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</si>
  <si>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</si>
  <si>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</si>
  <si>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</si>
  <si>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</si>
  <si>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</si>
  <si>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</si>
  <si>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</si>
  <si>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</si>
  <si>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</si>
  <si>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</si>
  <si>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</si>
  <si>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</si>
  <si>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</si>
  <si>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</si>
  <si>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</si>
  <si>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</si>
  <si>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</si>
  <si>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</si>
  <si>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</si>
  <si>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</si>
  <si>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</si>
  <si>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</si>
  <si>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</si>
  <si>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</si>
  <si>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</si>
  <si>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</si>
  <si>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</si>
  <si>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</si>
  <si>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</si>
  <si>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</si>
  <si>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</si>
  <si>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</si>
  <si>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</si>
  <si>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</si>
  <si>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</si>
  <si>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</si>
  <si>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</si>
  <si>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</si>
  <si>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</si>
  <si>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</si>
  <si>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</si>
  <si>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</si>
  <si>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</si>
  <si>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</si>
  <si>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</si>
  <si>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</si>
  <si>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</si>
  <si>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</si>
  <si>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</si>
  <si>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</si>
  <si>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</si>
  <si>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</si>
  <si>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</si>
  <si>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</si>
  <si>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</si>
  <si>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</si>
  <si>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</si>
  <si>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</si>
  <si>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</si>
  <si>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</si>
  <si>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</si>
  <si>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</si>
  <si>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</si>
  <si>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</si>
  <si>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</si>
  <si>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</si>
  <si>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</si>
  <si>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</si>
  <si>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</si>
  <si>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</si>
  <si>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</si>
  <si>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</si>
  <si>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</si>
  <si>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</si>
  <si>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</si>
  <si>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</si>
  <si>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</si>
  <si>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</si>
  <si>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</si>
  <si>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</si>
  <si>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</si>
  <si>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</si>
  <si>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</si>
  <si>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</si>
  <si>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</si>
  <si>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</si>
  <si>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</si>
  <si>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</si>
  <si>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</si>
  <si>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</si>
  <si>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</si>
  <si>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</si>
  <si>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</si>
  <si>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</si>
  <si>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</si>
  <si>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</si>
  <si>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</si>
  <si>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</si>
  <si>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</si>
  <si>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</si>
  <si>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</si>
  <si>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</si>
  <si>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</si>
  <si>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</si>
  <si>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</si>
  <si>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</si>
  <si>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</si>
  <si>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</si>
  <si>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</si>
  <si>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</si>
  <si>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</si>
  <si>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</si>
  <si>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</si>
  <si>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</si>
  <si>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</si>
  <si>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</si>
  <si>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</si>
  <si>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</si>
  <si>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</si>
  <si>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</si>
  <si>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</si>
  <si>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</si>
  <si>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</si>
  <si>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</si>
  <si>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</si>
  <si>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</si>
  <si>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</si>
  <si>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</si>
  <si>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</si>
  <si>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</si>
  <si>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</si>
  <si>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</si>
  <si>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</si>
  <si>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</si>
  <si>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</si>
  <si>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</si>
  <si>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</si>
  <si>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</si>
  <si>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</si>
  <si>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</si>
  <si>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</si>
  <si>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</si>
  <si>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</si>
  <si>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</si>
  <si>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</si>
  <si>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</si>
  <si>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</si>
  <si>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</si>
  <si>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</si>
  <si>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</si>
  <si>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</si>
  <si>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</si>
  <si>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</si>
  <si>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</si>
  <si>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</si>
  <si>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</si>
  <si>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</si>
  <si>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</si>
  <si>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</si>
  <si>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</si>
  <si>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</si>
  <si>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</si>
  <si>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</si>
  <si>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</si>
  <si>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</si>
  <si>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</si>
  <si>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</si>
  <si>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</si>
  <si>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</si>
  <si>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</si>
  <si>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</si>
  <si>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</si>
  <si>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</si>
  <si>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</si>
  <si>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</si>
  <si>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</si>
  <si>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</si>
  <si>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</si>
  <si>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</si>
  <si>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</si>
  <si>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</si>
  <si>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</si>
  <si>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</si>
  <si>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</si>
  <si>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</si>
  <si>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</si>
  <si>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</si>
  <si>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</si>
  <si>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</si>
  <si>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</si>
  <si>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</si>
  <si>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</si>
  <si>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</si>
  <si>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</si>
  <si>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</si>
  <si>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</si>
  <si>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</si>
  <si>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</si>
  <si>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</si>
  <si>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</si>
  <si>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</si>
  <si>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</si>
  <si>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</si>
  <si>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</si>
  <si>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</si>
  <si>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</si>
  <si>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</si>
  <si>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</si>
  <si>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</si>
  <si>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</si>
  <si>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</si>
  <si>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</si>
  <si>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</si>
  <si>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</si>
  <si>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</si>
  <si>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</si>
  <si>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</si>
  <si>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</si>
  <si>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</si>
  <si>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</si>
  <si>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</si>
  <si>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</si>
  <si>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</si>
  <si>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</si>
  <si>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</si>
  <si>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</si>
  <si>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</si>
  <si>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</si>
  <si>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</si>
  <si>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</si>
  <si>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</si>
  <si>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</si>
  <si>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</si>
  <si>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</si>
  <si>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</si>
  <si>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</si>
  <si>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</si>
  <si>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</si>
  <si>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</si>
  <si>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</si>
  <si>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</si>
  <si>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</si>
  <si>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</si>
  <si>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</si>
  <si>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</si>
  <si>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</si>
  <si>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</si>
  <si>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</si>
  <si>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</si>
  <si>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</si>
  <si>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</si>
  <si>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</si>
  <si>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</si>
  <si>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</si>
  <si>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</si>
  <si>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</si>
  <si>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</si>
  <si>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</si>
  <si>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</si>
  <si>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</si>
  <si>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</si>
  <si>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</si>
  <si>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</si>
  <si>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</si>
  <si>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</si>
  <si>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</si>
  <si>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</si>
  <si>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</si>
  <si>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</si>
  <si>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</si>
  <si>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</si>
  <si>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</si>
  <si>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</si>
  <si>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</si>
  <si>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</si>
  <si>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</si>
  <si>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</si>
  <si>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</si>
  <si>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</si>
  <si>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</si>
  <si>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</si>
  <si>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</si>
  <si>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</si>
  <si>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</si>
  <si>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</si>
  <si>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</si>
  <si>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</si>
  <si>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</si>
  <si>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</si>
  <si>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</si>
  <si>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</si>
  <si>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</si>
  <si>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</si>
  <si>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</si>
  <si>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</si>
  <si>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</si>
  <si>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</si>
  <si>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</si>
  <si>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</si>
  <si>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</si>
  <si>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</si>
  <si>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</si>
  <si>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</si>
  <si>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</si>
  <si>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</si>
  <si>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</si>
  <si>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</si>
  <si>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</si>
  <si>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</si>
  <si>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</si>
  <si>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</si>
  <si>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</si>
  <si>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</si>
  <si>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</si>
  <si>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</si>
  <si>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</si>
  <si>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</si>
  <si>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</si>
  <si>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</si>
  <si>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</si>
  <si>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</si>
  <si>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</si>
  <si>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</si>
  <si>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</si>
  <si>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</si>
  <si>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</si>
  <si>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</si>
  <si>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</si>
  <si>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</si>
  <si>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</si>
  <si>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</si>
  <si>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</si>
  <si>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</si>
  <si>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</si>
  <si>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</si>
  <si>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</si>
  <si>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</si>
  <si>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</si>
  <si>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</si>
  <si>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</si>
  <si>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</si>
  <si>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</si>
  <si>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</si>
  <si>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</si>
  <si>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</si>
  <si>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</si>
  <si>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</si>
  <si>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</si>
  <si>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</si>
  <si>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</si>
  <si>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</si>
  <si>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</si>
  <si>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</si>
  <si>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</si>
  <si>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</si>
  <si>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</si>
  <si>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</si>
  <si>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</si>
  <si>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</si>
  <si>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</si>
  <si>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</si>
  <si>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</si>
  <si>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</si>
  <si>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</si>
  <si>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</si>
  <si>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</si>
  <si>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</si>
  <si>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</si>
  <si>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</si>
  <si>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</si>
  <si>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</si>
  <si>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</si>
  <si>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</si>
  <si>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</si>
  <si>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</si>
  <si>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</si>
  <si>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</si>
  <si>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</si>
  <si>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</si>
  <si>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</si>
  <si>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</si>
  <si>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</si>
  <si>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</si>
  <si>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</si>
  <si>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</si>
  <si>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</si>
  <si>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</si>
  <si>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</si>
  <si>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</si>
  <si>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</si>
  <si>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</si>
  <si>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</si>
  <si>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</si>
  <si>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</si>
  <si>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</si>
  <si>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</si>
  <si>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</si>
  <si>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</si>
  <si>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</si>
  <si>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</si>
  <si>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</si>
  <si>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</si>
  <si>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</si>
  <si>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</si>
  <si>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</si>
  <si>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</si>
  <si>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</si>
  <si>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</si>
  <si>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</si>
  <si>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</si>
  <si>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</si>
  <si>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</si>
  <si>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</si>
  <si>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</si>
  <si>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</si>
  <si>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</si>
  <si>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</si>
  <si>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</si>
  <si>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</si>
  <si>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</si>
  <si>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</si>
  <si>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</si>
  <si>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</si>
  <si>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</si>
  <si>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</si>
  <si>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</si>
  <si>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</si>
  <si>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</si>
  <si>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</si>
  <si>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</si>
  <si>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</si>
  <si>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</si>
  <si>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</si>
  <si>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</si>
  <si>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</si>
  <si>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</si>
  <si>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</si>
  <si>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</si>
  <si>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</si>
  <si>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</si>
  <si>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</si>
  <si>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</si>
  <si>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</si>
  <si>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</si>
  <si>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</si>
  <si>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</si>
  <si>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</si>
  <si>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</si>
  <si>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</si>
  <si>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</si>
  <si>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</si>
  <si>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</si>
  <si>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</si>
  <si>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</si>
  <si>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</si>
  <si>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</si>
  <si>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</si>
  <si>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</si>
  <si>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</si>
  <si>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</si>
  <si>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</si>
  <si>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</si>
  <si>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</si>
  <si>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</si>
  <si>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</si>
  <si>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</si>
  <si>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</si>
  <si>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</si>
  <si>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</si>
  <si>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</si>
  <si>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</si>
  <si>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</si>
  <si>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</si>
  <si>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</si>
  <si>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</si>
  <si>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</si>
  <si>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</si>
  <si>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</si>
  <si>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</si>
  <si>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</si>
  <si>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</si>
  <si>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</si>
  <si>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</si>
  <si>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</si>
  <si>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</si>
  <si>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</si>
  <si>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</si>
  <si>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</si>
  <si>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</si>
  <si>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</si>
  <si>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</si>
  <si>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</si>
  <si>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</si>
  <si>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</si>
  <si>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</si>
  <si>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</si>
  <si>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</si>
  <si>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</si>
  <si>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</si>
  <si>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</si>
  <si>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</si>
  <si>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</si>
  <si>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</si>
  <si>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</si>
  <si>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</si>
  <si>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</si>
  <si>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</si>
  <si>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</si>
  <si>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</si>
  <si>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</si>
  <si>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</si>
  <si>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</si>
  <si>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</si>
  <si>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</si>
  <si>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</si>
  <si>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</si>
  <si>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</si>
  <si>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</si>
  <si>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</si>
  <si>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</si>
  <si>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</si>
  <si>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</si>
  <si>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</si>
  <si>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</si>
  <si>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</si>
  <si>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</si>
  <si>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</si>
  <si>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</si>
  <si>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</si>
  <si>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</si>
  <si>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</si>
  <si>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</si>
  <si>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</si>
  <si>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</si>
  <si>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</si>
  <si>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</si>
  <si>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</si>
  <si>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</si>
  <si>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</si>
  <si>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</si>
  <si>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</si>
  <si>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</si>
  <si>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</si>
  <si>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</si>
  <si>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</si>
  <si>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</si>
  <si>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</si>
  <si>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</si>
  <si>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</si>
  <si>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</si>
  <si>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</si>
  <si>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</si>
  <si>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</si>
  <si>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</si>
  <si>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</si>
  <si>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</si>
  <si>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</si>
  <si>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</si>
  <si>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</si>
  <si>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</si>
  <si>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</si>
  <si>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</si>
  <si>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</si>
  <si>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</si>
  <si>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</si>
  <si>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</si>
  <si>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</si>
  <si>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</si>
  <si>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</si>
  <si>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</si>
  <si>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</si>
  <si>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</si>
  <si>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</si>
  <si>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</si>
  <si>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</si>
  <si>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</si>
  <si>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</si>
  <si>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</si>
  <si>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</si>
  <si>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</si>
  <si>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</si>
  <si>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</si>
  <si>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</si>
  <si>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</si>
  <si>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</si>
  <si>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</si>
  <si>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</si>
  <si>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</si>
  <si>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</si>
  <si>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</si>
  <si>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</si>
  <si>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</si>
  <si>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</si>
  <si>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</si>
  <si>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</si>
  <si>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</si>
  <si>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</si>
  <si>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</si>
  <si>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</si>
  <si>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</si>
  <si>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</si>
  <si>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</si>
  <si>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</si>
  <si>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</si>
  <si>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</si>
  <si>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</si>
  <si>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</si>
  <si>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</si>
  <si>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</si>
  <si>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</si>
  <si>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</si>
  <si>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</si>
  <si>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</si>
  <si>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</si>
  <si>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</si>
  <si>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</si>
  <si>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</si>
  <si>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</si>
  <si>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</si>
  <si>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</si>
  <si>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</si>
  <si>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</si>
  <si>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</si>
  <si>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</si>
  <si>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</si>
  <si>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</si>
  <si>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</si>
  <si>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</si>
  <si>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</si>
  <si>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</si>
  <si>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</si>
  <si>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</si>
  <si>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</si>
  <si>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</si>
  <si>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</si>
  <si>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</si>
  <si>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</si>
  <si>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</si>
  <si>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</si>
  <si>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</si>
  <si>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</si>
  <si>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</si>
  <si>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</si>
  <si>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</si>
  <si>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</si>
  <si>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</si>
  <si>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</si>
  <si>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</si>
  <si>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</si>
  <si>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</si>
  <si>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</si>
  <si>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</si>
  <si>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</si>
  <si>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</si>
  <si>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</si>
  <si>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</si>
  <si>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</si>
  <si>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</si>
  <si>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</si>
  <si>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</si>
  <si>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</si>
  <si>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</si>
  <si>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</si>
  <si>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</si>
  <si>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</si>
  <si>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</si>
  <si>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</si>
  <si>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</si>
  <si>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</si>
  <si>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</si>
  <si>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</si>
  <si>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</si>
  <si>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</si>
  <si>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</si>
  <si>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</si>
  <si>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</si>
  <si>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</si>
  <si>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</si>
  <si>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</si>
  <si>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</si>
  <si>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</si>
  <si>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</si>
  <si>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</si>
  <si>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</si>
  <si>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</si>
  <si>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</si>
  <si>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</si>
  <si>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</si>
  <si>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</si>
  <si>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</si>
  <si>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</si>
  <si>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</si>
  <si>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</si>
  <si>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</si>
  <si>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</si>
  <si>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</si>
  <si>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</si>
  <si>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</si>
  <si>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</si>
  <si>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</si>
  <si>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</si>
  <si>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</si>
  <si>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</si>
  <si>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</si>
  <si>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</si>
  <si>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</si>
  <si>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</si>
  <si>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</si>
  <si>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</si>
  <si>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</si>
  <si>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</si>
  <si>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</si>
  <si>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</si>
  <si>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</si>
  <si>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</si>
  <si>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</si>
  <si>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</si>
  <si>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</si>
  <si>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</si>
  <si>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</si>
  <si>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</si>
  <si>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</si>
  <si>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</si>
  <si>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</si>
  <si>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</si>
  <si>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</si>
  <si>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</si>
  <si>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</si>
  <si>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</si>
  <si>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</si>
  <si>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</si>
  <si>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</si>
  <si>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</si>
  <si>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</si>
  <si>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</si>
  <si>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</si>
  <si>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</si>
  <si>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</si>
  <si>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</si>
  <si>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</si>
  <si>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</si>
  <si>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</si>
  <si>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</si>
  <si>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</si>
  <si>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</si>
  <si>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</si>
  <si>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</si>
  <si>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</si>
  <si>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</si>
  <si>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</si>
  <si>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</si>
  <si>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</si>
  <si>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</si>
  <si>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</si>
  <si>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</si>
  <si>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</si>
  <si>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</si>
  <si>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</si>
  <si>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</si>
  <si>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</si>
  <si>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</si>
  <si>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</si>
  <si>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</si>
  <si>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</si>
  <si>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</si>
  <si>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</si>
  <si>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</si>
  <si>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</si>
  <si>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</si>
  <si>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</si>
  <si>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</si>
  <si>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</si>
  <si>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</si>
  <si>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</si>
  <si>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</si>
  <si>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</si>
  <si>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</si>
  <si>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</si>
  <si>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</si>
  <si>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</si>
  <si>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</si>
  <si>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</si>
  <si>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</si>
  <si>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</si>
  <si>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</si>
  <si>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</si>
  <si>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</si>
  <si>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</si>
  <si>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</si>
  <si>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</si>
  <si>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</si>
  <si>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</si>
  <si>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</si>
  <si>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</si>
  <si>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</si>
  <si>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</si>
  <si>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</si>
  <si>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</si>
  <si>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</si>
  <si>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</si>
  <si>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</si>
  <si>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</si>
  <si>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</si>
  <si>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</si>
  <si>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</si>
  <si>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</si>
  <si>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</si>
  <si>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</si>
  <si>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</si>
  <si>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</si>
  <si>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</si>
  <si>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</si>
  <si>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</si>
  <si>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</si>
  <si>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</si>
  <si>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</si>
  <si>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</si>
  <si>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</si>
  <si>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</si>
  <si>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</si>
  <si>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</si>
  <si>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</si>
  <si>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</si>
  <si>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</si>
  <si>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</si>
  <si>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</si>
  <si>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</si>
  <si>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</si>
  <si>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</si>
  <si>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</si>
  <si>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</si>
  <si>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</si>
  <si>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</si>
  <si>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</si>
  <si>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</si>
  <si>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</si>
  <si>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</si>
  <si>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</si>
  <si>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</si>
  <si>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</si>
  <si>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</si>
  <si>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</si>
  <si>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</si>
  <si>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</si>
  <si>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</si>
  <si>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</si>
  <si>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</si>
  <si>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</si>
  <si>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</si>
  <si>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</si>
  <si>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</si>
  <si>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</si>
  <si>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</si>
  <si>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</si>
  <si>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</si>
  <si>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</si>
  <si>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</si>
  <si>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</si>
  <si>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</si>
  <si>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</si>
  <si>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</si>
  <si>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</si>
  <si>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</si>
  <si>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</si>
  <si>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</si>
  <si>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</si>
  <si>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</si>
  <si>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</si>
  <si>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</si>
  <si>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</si>
  <si>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</si>
  <si>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</si>
  <si>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</si>
  <si>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</si>
  <si>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</si>
  <si>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</si>
  <si>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</si>
  <si>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</si>
  <si>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</si>
  <si>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</si>
  <si>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</si>
  <si>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</si>
  <si>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</si>
  <si>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</si>
  <si>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</si>
  <si>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</si>
  <si>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</si>
  <si>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</si>
  <si>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</si>
  <si>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</si>
  <si>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</si>
  <si>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</si>
  <si>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</si>
  <si>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</si>
  <si>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</si>
  <si>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</si>
  <si>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</si>
  <si>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</si>
  <si>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</si>
  <si>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</si>
  <si>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</si>
  <si>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</si>
  <si>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</si>
  <si>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</si>
  <si>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</si>
  <si>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</si>
  <si>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</si>
  <si>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</si>
  <si>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</si>
  <si>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</si>
  <si>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</si>
  <si>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</si>
  <si>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</si>
  <si>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</si>
  <si>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</si>
  <si>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</si>
  <si>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</si>
  <si>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</si>
  <si>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</si>
  <si>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</si>
  <si>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</si>
  <si>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</si>
  <si>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</si>
  <si>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</si>
  <si>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</si>
  <si>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</si>
  <si>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</si>
  <si>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</si>
  <si>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</si>
  <si>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</si>
  <si>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</si>
  <si>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</si>
  <si>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</si>
  <si>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</si>
  <si>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</si>
  <si>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</si>
  <si>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</si>
  <si>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</si>
  <si>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</si>
  <si>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</si>
  <si>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</si>
  <si>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</si>
  <si>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</si>
  <si>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</si>
  <si>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</si>
  <si>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</si>
  <si>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</si>
  <si>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</si>
  <si>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</si>
  <si>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</si>
  <si>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</si>
  <si>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</si>
  <si>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</si>
  <si>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</si>
  <si>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</si>
  <si>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</si>
  <si>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</si>
  <si>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</si>
  <si>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</si>
  <si>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</si>
  <si>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</si>
  <si>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</si>
  <si>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</si>
  <si>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</si>
  <si>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</si>
  <si>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</si>
  <si>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</si>
  <si>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</si>
  <si>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</si>
  <si>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</si>
  <si>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</si>
  <si>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</si>
  <si>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</si>
  <si>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</si>
  <si>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</si>
  <si>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</si>
  <si>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</si>
  <si>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</si>
  <si>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</si>
  <si>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</si>
  <si>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</si>
  <si>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</si>
  <si>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</si>
  <si>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</si>
  <si>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</si>
  <si>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</si>
  <si>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</si>
  <si>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</si>
  <si>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</si>
  <si>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</si>
  <si>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</si>
  <si>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</si>
  <si>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</si>
  <si>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</si>
  <si>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</si>
  <si>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</si>
  <si>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</si>
  <si>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</si>
  <si>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</si>
  <si>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</si>
  <si>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</si>
  <si>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</si>
  <si>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</si>
  <si>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</si>
  <si>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</si>
  <si>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</si>
  <si>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</si>
  <si>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</si>
  <si>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</si>
  <si>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</si>
  <si>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</si>
  <si>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</si>
  <si>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</si>
  <si>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</si>
  <si>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</si>
  <si>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</si>
  <si>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</si>
  <si>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</si>
  <si>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</si>
  <si>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</si>
  <si>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</si>
  <si>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</si>
  <si>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</si>
  <si>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</si>
  <si>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</si>
  <si>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</si>
  <si>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</si>
  <si>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</si>
  <si>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</si>
  <si>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</si>
  <si>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</si>
  <si>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</si>
  <si>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</si>
  <si>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</si>
  <si>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</si>
  <si>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</si>
  <si>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</si>
  <si>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</si>
  <si>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</si>
  <si>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</si>
  <si>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</si>
  <si>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</si>
  <si>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</si>
  <si>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</si>
  <si>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</si>
  <si>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</si>
  <si>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</si>
  <si>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</si>
  <si>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</si>
  <si>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</si>
  <si>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</si>
  <si>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</si>
  <si>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</si>
  <si>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</si>
  <si>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</si>
  <si>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</si>
  <si>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</si>
  <si>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</si>
  <si>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</si>
  <si>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</si>
  <si>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</si>
  <si>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</si>
  <si>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</si>
  <si>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</si>
  <si>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</si>
  <si>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</si>
  <si>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</si>
  <si>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</si>
  <si>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</si>
  <si>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</si>
  <si>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</si>
  <si>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</si>
  <si>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</si>
  <si>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</si>
  <si>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</si>
  <si>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</si>
  <si>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</si>
  <si>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</si>
  <si>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</si>
  <si>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</si>
  <si>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</si>
  <si>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</si>
  <si>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</si>
  <si>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</si>
  <si>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</si>
  <si>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</si>
  <si>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</si>
  <si>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</si>
  <si>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</si>
  <si>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</si>
  <si>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</si>
  <si>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</si>
  <si>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</si>
  <si>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</si>
  <si>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</si>
  <si>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</si>
  <si>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</si>
  <si>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</si>
  <si>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</si>
  <si>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</si>
  <si>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</si>
  <si>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</si>
  <si>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</si>
  <si>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</si>
  <si>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</si>
  <si>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</si>
  <si>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</si>
  <si>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</si>
  <si>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</si>
  <si>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</si>
  <si>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</si>
  <si>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</si>
  <si>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</si>
  <si>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</si>
  <si>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</si>
  <si>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</si>
  <si>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</si>
  <si>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</si>
  <si>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</si>
  <si>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</si>
  <si>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</si>
  <si>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</si>
  <si>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</si>
  <si>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</si>
  <si>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</si>
  <si>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</si>
  <si>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</si>
  <si>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</si>
  <si>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</si>
  <si>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</si>
  <si>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</si>
  <si>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</si>
  <si>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</si>
  <si>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</si>
  <si>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</si>
  <si>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</si>
  <si>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</si>
  <si>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</si>
  <si>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</si>
  <si>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</si>
  <si>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</si>
  <si>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</si>
  <si>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</si>
  <si>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</si>
  <si>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</si>
  <si>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</si>
  <si>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</si>
  <si>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</si>
  <si>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</si>
  <si>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</si>
  <si>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</si>
  <si>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</si>
  <si>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</si>
  <si>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</si>
  <si>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</si>
  <si>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</si>
  <si>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</si>
  <si>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</si>
  <si>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</si>
  <si>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</si>
  <si>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</si>
  <si>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</si>
  <si>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</si>
  <si>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</si>
  <si>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</si>
  <si>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</si>
  <si>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</si>
  <si>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</si>
  <si>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</si>
  <si>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</si>
  <si>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</si>
  <si>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</si>
  <si>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</si>
  <si>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</si>
  <si>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</si>
  <si>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</si>
  <si>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</si>
  <si>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</si>
  <si>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</si>
  <si>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</si>
  <si>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</si>
  <si>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</si>
  <si>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</si>
  <si>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</si>
  <si>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</si>
  <si>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</si>
  <si>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</si>
  <si>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</si>
  <si>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</si>
  <si>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</si>
  <si>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</si>
  <si>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</si>
  <si>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</si>
  <si>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</si>
  <si>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</si>
  <si>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</si>
  <si>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</si>
  <si>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</si>
  <si>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</si>
  <si>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</si>
  <si>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</si>
  <si>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</si>
  <si>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</si>
  <si>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</si>
  <si>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</si>
  <si>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</si>
  <si>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</si>
  <si>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</si>
  <si>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</si>
  <si>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</si>
  <si>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</si>
  <si>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</si>
  <si>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</si>
  <si>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</si>
  <si>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</si>
  <si>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</si>
  <si>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</si>
  <si>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</si>
  <si>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</si>
  <si>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</si>
  <si>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</si>
  <si>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</si>
  <si>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</si>
  <si>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</si>
  <si>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</si>
  <si>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</si>
  <si>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</si>
  <si>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</si>
  <si>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</si>
  <si>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</si>
  <si>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</si>
  <si>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</si>
  <si>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</si>
  <si>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</si>
  <si>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</si>
  <si>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</si>
  <si>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</si>
  <si>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</si>
  <si>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</si>
  <si>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</si>
  <si>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</si>
  <si>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</si>
  <si>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</si>
  <si>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</si>
  <si>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</si>
  <si>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</si>
  <si>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</si>
  <si>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</si>
  <si>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</si>
  <si>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</si>
  <si>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</si>
  <si>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</si>
  <si>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</si>
  <si>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</si>
  <si>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</si>
  <si>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</si>
  <si>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</si>
  <si>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</si>
  <si>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</si>
  <si>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</si>
  <si>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</si>
  <si>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</si>
  <si>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</si>
  <si>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</si>
  <si>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</si>
  <si>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</si>
  <si>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</si>
  <si>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</si>
  <si>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</si>
  <si>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</si>
  <si>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</si>
  <si>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</si>
  <si>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</si>
  <si>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</si>
  <si>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</si>
  <si>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</si>
  <si>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</si>
  <si>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</si>
  <si>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</si>
  <si>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</si>
  <si>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</si>
  <si>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</si>
  <si>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</si>
  <si>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</si>
  <si>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</si>
  <si>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</si>
  <si>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</si>
  <si>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</si>
  <si>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</si>
  <si>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</si>
  <si>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</si>
  <si>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</si>
  <si>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</si>
  <si>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</si>
  <si>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</si>
  <si>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</si>
  <si>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</si>
  <si>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</si>
  <si>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</si>
  <si>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</si>
  <si>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</si>
  <si>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</si>
  <si>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</si>
  <si>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</si>
  <si>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</si>
  <si>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</si>
  <si>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</si>
  <si>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</si>
  <si>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</si>
  <si>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</si>
  <si>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</si>
  <si>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</si>
  <si>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</si>
  <si>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</si>
  <si>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</si>
  <si>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</si>
  <si>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</si>
  <si>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</si>
  <si>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</si>
  <si>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</si>
  <si>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</si>
  <si>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</si>
  <si>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</si>
  <si>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</si>
  <si>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</si>
  <si>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</si>
  <si>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</si>
  <si>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</si>
  <si>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</si>
  <si>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</si>
  <si>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</si>
  <si>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</si>
  <si>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</si>
  <si>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</si>
  <si>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</si>
  <si>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</si>
  <si>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</si>
  <si>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</si>
  <si>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</si>
  <si>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</si>
  <si>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</si>
  <si>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</si>
  <si>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</si>
  <si>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</si>
  <si>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</si>
  <si>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</si>
  <si>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</si>
  <si>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</si>
  <si>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</si>
  <si>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</si>
  <si>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</si>
  <si>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</si>
  <si>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</si>
  <si>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</si>
  <si>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</si>
  <si>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</si>
  <si>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</si>
  <si>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</si>
  <si>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</si>
  <si>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</si>
  <si>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</si>
  <si>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</si>
  <si>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</si>
  <si>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</si>
  <si>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</si>
  <si>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</si>
  <si>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</si>
  <si>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</si>
  <si>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</si>
  <si>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</si>
  <si>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</si>
  <si>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</si>
  <si>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</si>
  <si>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</si>
  <si>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</si>
  <si>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</si>
  <si>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</si>
  <si>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</si>
  <si>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</si>
  <si>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</si>
  <si>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</si>
  <si>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</si>
  <si>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</si>
  <si>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</si>
  <si>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</si>
  <si>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</si>
  <si>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</si>
  <si>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</si>
  <si>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</si>
  <si>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</si>
  <si>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</si>
  <si>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</si>
  <si>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</si>
  <si>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</si>
  <si>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</si>
  <si>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</si>
  <si>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</si>
  <si>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</si>
  <si>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</si>
  <si>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</si>
  <si>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</si>
  <si>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</si>
  <si>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</si>
  <si>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</si>
  <si>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</si>
  <si>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</si>
  <si>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</si>
  <si>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</si>
  <si>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</si>
  <si>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</si>
  <si>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</si>
  <si>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</si>
  <si>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</si>
  <si>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</si>
  <si>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</si>
  <si>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</si>
  <si>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</si>
  <si>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</si>
  <si>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</si>
  <si>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</si>
  <si>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</si>
  <si>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</si>
  <si>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</si>
  <si>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</si>
  <si>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</si>
  <si>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</si>
  <si>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</si>
  <si>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</si>
  <si>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</si>
  <si>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</si>
  <si>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</si>
  <si>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</si>
  <si>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</si>
  <si>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</si>
  <si>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</si>
  <si>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</si>
  <si>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</si>
  <si>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</si>
  <si>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</si>
  <si>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</si>
  <si>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</si>
  <si>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</si>
  <si>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</si>
  <si>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</si>
  <si>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</si>
  <si>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</si>
  <si>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</si>
  <si>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</si>
  <si>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</si>
  <si>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</si>
  <si>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</si>
  <si>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</si>
  <si>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</si>
  <si>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</si>
  <si>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</si>
  <si>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</si>
  <si>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</si>
  <si>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</si>
  <si>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</si>
  <si>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</si>
  <si>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</si>
  <si>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</si>
  <si>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</si>
  <si>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</si>
  <si>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</si>
  <si>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</si>
  <si>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</si>
  <si>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</si>
  <si>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</si>
  <si>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</si>
  <si>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</si>
  <si>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</si>
  <si>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</si>
  <si>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</si>
  <si>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</si>
  <si>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</si>
  <si>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</si>
  <si>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</si>
  <si>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</si>
  <si>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</si>
  <si>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</si>
  <si>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</si>
  <si>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</si>
  <si>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</si>
  <si>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</si>
  <si>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</si>
  <si>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</si>
  <si>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</si>
  <si>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</si>
  <si>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</si>
  <si>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</si>
  <si>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</si>
  <si>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</si>
  <si>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</si>
  <si>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</si>
  <si>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</si>
  <si>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</si>
  <si>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</si>
  <si>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</si>
  <si>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</si>
  <si>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</si>
  <si>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</si>
  <si>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</si>
  <si>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</si>
  <si>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</si>
  <si>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</si>
  <si>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</si>
  <si>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</si>
  <si>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</si>
  <si>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</si>
  <si>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</si>
  <si>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</si>
  <si>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</si>
  <si>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</si>
  <si>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</si>
  <si>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</si>
  <si>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</si>
  <si>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</si>
  <si>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</si>
  <si>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</si>
  <si>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</si>
  <si>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</si>
  <si>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</si>
  <si>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</si>
  <si>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</si>
  <si>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</si>
  <si>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</si>
  <si>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</si>
  <si>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</si>
  <si>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</si>
  <si>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</si>
  <si>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</si>
  <si>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</si>
  <si>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</si>
  <si>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</si>
  <si>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</si>
  <si>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</si>
  <si>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</si>
  <si>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</si>
  <si>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</si>
  <si>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</si>
  <si>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</si>
  <si>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</si>
  <si>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</si>
  <si>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</si>
  <si>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</si>
  <si>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</si>
  <si>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</si>
  <si>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</si>
  <si>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</si>
  <si>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</si>
  <si>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</si>
  <si>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</si>
  <si>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</si>
  <si>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</si>
  <si>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</si>
  <si>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</si>
  <si>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</si>
  <si>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</si>
  <si>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</si>
  <si>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</si>
  <si>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</si>
  <si>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</si>
  <si>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</si>
  <si>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</si>
  <si>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</si>
  <si>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</si>
  <si>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</si>
  <si>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</si>
  <si>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</si>
  <si>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</si>
  <si>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</si>
  <si>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</si>
  <si>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</si>
  <si>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</si>
  <si>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</si>
  <si>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</si>
  <si>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</si>
  <si>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</si>
  <si>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</si>
  <si>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</si>
  <si>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</si>
  <si>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</si>
  <si>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</si>
  <si>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</si>
  <si>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</si>
  <si>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</si>
  <si>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</si>
  <si>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</si>
  <si>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</si>
  <si>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</si>
  <si>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</si>
  <si>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</si>
  <si>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</si>
  <si>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</si>
  <si>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</si>
  <si>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</si>
  <si>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</si>
  <si>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</si>
  <si>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</si>
  <si>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</si>
  <si>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</si>
  <si>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</si>
  <si>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</si>
  <si>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</si>
  <si>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</si>
  <si>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</si>
  <si>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</si>
  <si>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</si>
  <si>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</si>
  <si>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</si>
  <si>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</si>
  <si>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</si>
  <si>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</si>
  <si>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</si>
  <si>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</si>
  <si>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</si>
  <si>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</si>
  <si>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</si>
  <si>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</si>
  <si>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</si>
  <si>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</si>
  <si>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</si>
  <si>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</si>
  <si>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</si>
  <si>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</si>
  <si>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</si>
  <si>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</si>
  <si>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</si>
  <si>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</si>
  <si>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</si>
  <si>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</si>
  <si>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</si>
  <si>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</si>
  <si>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</si>
  <si>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</si>
  <si>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</si>
  <si>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</si>
  <si>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</si>
  <si>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</si>
  <si>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</si>
  <si>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</si>
  <si>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</si>
  <si>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</si>
  <si>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</si>
  <si>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</si>
  <si>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</si>
  <si>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</si>
  <si>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</si>
  <si>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</si>
  <si>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</si>
  <si>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</si>
  <si>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</si>
  <si>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</si>
  <si>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</si>
  <si>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</si>
  <si>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</si>
  <si>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</si>
  <si>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</si>
  <si>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</si>
  <si>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</si>
  <si>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</si>
  <si>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</si>
  <si>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</si>
  <si>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</si>
  <si>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</si>
  <si>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</si>
  <si>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</si>
  <si>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</si>
  <si>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</si>
  <si>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</si>
  <si>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</si>
  <si>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</si>
  <si>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</si>
  <si>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</si>
  <si>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</si>
  <si>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</si>
  <si>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</si>
  <si>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</si>
  <si>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</si>
  <si>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</si>
  <si>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</si>
  <si>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</si>
  <si>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</si>
  <si>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</si>
  <si>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</si>
  <si>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</si>
  <si>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</si>
  <si>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</si>
  <si>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</si>
  <si>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</si>
  <si>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</si>
  <si>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</si>
  <si>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</si>
  <si>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</si>
  <si>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</si>
  <si>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</si>
  <si>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</si>
  <si>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</si>
  <si>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</si>
  <si>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</si>
  <si>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</si>
  <si>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</si>
  <si>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</si>
  <si>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</si>
  <si>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</si>
  <si>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</si>
  <si>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</si>
  <si>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</si>
  <si>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</si>
  <si>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</si>
  <si>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</si>
  <si>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</si>
  <si>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</si>
  <si>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</si>
  <si>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</si>
  <si>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</si>
  <si>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</si>
  <si>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</si>
  <si>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</si>
  <si>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</si>
  <si>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</si>
  <si>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</si>
  <si>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</si>
  <si>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</si>
  <si>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</si>
  <si>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</si>
  <si>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</si>
  <si>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</si>
  <si>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</si>
  <si>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</si>
  <si>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</si>
  <si>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</si>
  <si>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</si>
  <si>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</si>
  <si>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</si>
  <si>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</si>
  <si>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</si>
  <si>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</si>
  <si>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</si>
  <si>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</si>
  <si>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</si>
  <si>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</si>
  <si>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</si>
  <si>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</si>
  <si>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</si>
  <si>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</si>
  <si>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</si>
  <si>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</si>
  <si>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</si>
  <si>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</si>
  <si>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</si>
  <si>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</si>
  <si>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</si>
  <si>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</si>
  <si>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</si>
  <si>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</si>
  <si>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</si>
  <si>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</si>
  <si>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</si>
  <si>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</si>
  <si>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</si>
  <si>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</si>
  <si>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</si>
  <si>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</si>
  <si>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</si>
  <si>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</si>
  <si>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</si>
  <si>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</si>
  <si>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</si>
  <si>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</si>
  <si>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</si>
  <si>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</si>
  <si>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</si>
  <si>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</si>
  <si>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</si>
  <si>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</si>
  <si>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</si>
  <si>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</si>
  <si>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</si>
  <si>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</si>
  <si>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</si>
  <si>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</si>
  <si>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</si>
  <si>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</si>
  <si>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</si>
  <si>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</si>
  <si>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</si>
  <si>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</si>
  <si>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</si>
  <si>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</si>
  <si>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</si>
  <si>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</si>
  <si>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</si>
  <si>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</si>
  <si>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</si>
  <si>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</si>
  <si>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</si>
  <si>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</si>
  <si>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</si>
  <si>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</si>
  <si>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</si>
  <si>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</si>
  <si>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</si>
  <si>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</si>
  <si>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</si>
  <si>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</si>
  <si>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</si>
  <si>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</si>
  <si>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</si>
  <si>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</si>
  <si>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</si>
  <si>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</si>
  <si>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</si>
  <si>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</si>
  <si>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</si>
  <si>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</si>
  <si>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</si>
  <si>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</si>
  <si>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</si>
  <si>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</si>
  <si>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</si>
  <si>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</si>
  <si>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</si>
  <si>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</si>
  <si>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</si>
  <si>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</si>
  <si>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</si>
  <si>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</si>
  <si>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</si>
  <si>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</si>
  <si>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</si>
  <si>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</si>
  <si>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</si>
  <si>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</si>
  <si>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</si>
  <si>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</si>
  <si>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</si>
  <si>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</si>
  <si>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</si>
  <si>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</si>
  <si>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</si>
  <si>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</si>
  <si>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</si>
  <si>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</si>
  <si>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</si>
  <si>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</si>
  <si>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</si>
  <si>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</si>
  <si>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</si>
  <si>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</si>
  <si>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</si>
  <si>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</si>
  <si>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</si>
  <si>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</si>
  <si>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</si>
  <si>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</si>
  <si>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</si>
  <si>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</si>
  <si>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</si>
  <si>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</si>
  <si>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</si>
  <si>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</si>
  <si>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</si>
  <si>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</si>
  <si>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</si>
  <si>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</si>
  <si>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</si>
  <si>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</si>
  <si>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</si>
  <si>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</si>
  <si>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</si>
  <si>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</si>
  <si>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</si>
  <si>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</si>
  <si>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</si>
  <si>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</si>
  <si>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</si>
  <si>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</si>
  <si>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</si>
  <si>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</si>
  <si>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</si>
  <si>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</si>
  <si>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</si>
  <si>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</si>
  <si>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</si>
  <si>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</si>
  <si>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</si>
  <si>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</si>
  <si>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</si>
  <si>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</si>
  <si>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</si>
  <si>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</si>
  <si>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</si>
  <si>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</si>
  <si>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</si>
  <si>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</si>
  <si>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</si>
  <si>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</si>
  <si>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</si>
  <si>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</si>
  <si>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</si>
  <si>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</si>
  <si>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</si>
  <si>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</si>
  <si>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</si>
  <si>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</si>
  <si>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</si>
  <si>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</si>
  <si>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</si>
  <si>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</si>
  <si>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</si>
  <si>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</si>
  <si>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</si>
  <si>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</si>
  <si>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</si>
  <si>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</si>
  <si>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</si>
  <si>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</si>
  <si>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</si>
  <si>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</si>
  <si>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</si>
  <si>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</si>
  <si>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</si>
  <si>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</si>
  <si>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</si>
  <si>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</si>
  <si>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</si>
  <si>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</si>
  <si>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</si>
  <si>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</si>
  <si>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</si>
  <si>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</si>
  <si>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</si>
  <si>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</si>
  <si>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</si>
  <si>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</si>
  <si>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</si>
  <si>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</si>
  <si>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</si>
  <si>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</si>
  <si>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</si>
  <si>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</si>
  <si>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</si>
  <si>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</si>
  <si>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</si>
  <si>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</si>
  <si>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</si>
  <si>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</si>
  <si>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</si>
  <si>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</si>
  <si>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</si>
  <si>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</si>
  <si>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</si>
  <si>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</si>
  <si>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</si>
  <si>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</si>
  <si>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</si>
  <si>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</si>
  <si>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</si>
  <si>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</si>
  <si>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</si>
  <si>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</si>
  <si>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</si>
  <si>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</si>
  <si>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</si>
  <si>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</si>
  <si>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</si>
  <si>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</si>
  <si>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</si>
  <si>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</si>
  <si>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</si>
  <si>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</si>
  <si>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</si>
  <si>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</si>
  <si>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</si>
  <si>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</si>
  <si>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</si>
  <si>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</si>
  <si>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</si>
  <si>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</si>
  <si>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</si>
  <si>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</si>
  <si>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</si>
  <si>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</si>
  <si>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</si>
  <si>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</si>
  <si>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</si>
  <si>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</si>
  <si>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</si>
  <si>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</si>
  <si>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</si>
  <si>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</si>
  <si>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</si>
  <si>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</si>
  <si>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</si>
  <si>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</si>
  <si>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</si>
  <si>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</si>
  <si>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</si>
  <si>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</si>
  <si>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</si>
  <si>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</si>
  <si>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</si>
  <si>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</si>
  <si>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</si>
  <si>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</si>
  <si>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</si>
  <si>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</si>
  <si>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</si>
  <si>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</si>
  <si>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</si>
  <si>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</si>
  <si>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</si>
  <si>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</si>
  <si>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</si>
  <si>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</si>
  <si>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</si>
  <si>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</si>
  <si>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</si>
  <si>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</si>
  <si>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</si>
  <si>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</si>
  <si>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</si>
  <si>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</si>
  <si>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</si>
  <si>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</si>
  <si>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</si>
  <si>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</si>
  <si>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</si>
  <si>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</si>
  <si>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</si>
  <si>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</si>
  <si>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</si>
  <si>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</si>
  <si>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</si>
  <si>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</si>
  <si>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</si>
  <si>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</si>
  <si>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</si>
  <si>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</si>
  <si>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</si>
  <si>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</si>
  <si>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</si>
  <si>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</si>
  <si>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</si>
  <si>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</si>
  <si>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</si>
  <si>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</si>
  <si>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</si>
  <si>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</si>
  <si>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</si>
  <si>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</si>
  <si>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</si>
  <si>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</si>
  <si>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</si>
  <si>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</si>
  <si>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</si>
  <si>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</si>
  <si>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</si>
  <si>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</si>
  <si>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</si>
  <si>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</si>
  <si>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</si>
  <si>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</si>
  <si>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</si>
  <si>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</si>
  <si>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</si>
  <si>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</si>
  <si>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</si>
  <si>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</si>
  <si>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</si>
  <si>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</si>
  <si>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</si>
  <si>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</si>
  <si>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</si>
  <si>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</si>
  <si>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</si>
  <si>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</si>
  <si>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</si>
  <si>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</si>
  <si>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</si>
  <si>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</si>
  <si>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</si>
  <si>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</si>
  <si>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</si>
  <si>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</si>
  <si>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</si>
  <si>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</si>
  <si>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</si>
  <si>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</si>
  <si>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</si>
  <si>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</si>
  <si>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</si>
  <si>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</si>
  <si>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</si>
  <si>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</si>
  <si>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</si>
  <si>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</si>
  <si>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</si>
  <si>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</si>
  <si>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</si>
  <si>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</si>
  <si>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</si>
  <si>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</si>
  <si>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</si>
  <si>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</si>
  <si>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</si>
  <si>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</si>
  <si>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</si>
  <si>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</si>
  <si>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</si>
  <si>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</si>
  <si>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</si>
  <si>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</si>
  <si>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</si>
  <si>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</si>
  <si>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</si>
  <si>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</si>
  <si>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</si>
  <si>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</si>
  <si>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</si>
  <si>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</si>
  <si>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</si>
  <si>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</si>
  <si>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</si>
  <si>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</si>
  <si>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</si>
  <si>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</si>
  <si>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</si>
  <si>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</si>
  <si>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</si>
  <si>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</si>
  <si>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</si>
  <si>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</si>
  <si>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</si>
  <si>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</si>
  <si>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</si>
  <si>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</si>
  <si>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</si>
  <si>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</si>
  <si>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</si>
  <si>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</si>
  <si>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</si>
  <si>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</si>
  <si>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</si>
  <si>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</si>
  <si>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</si>
  <si>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</si>
  <si>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</si>
  <si>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</si>
  <si>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</si>
  <si>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</si>
  <si>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</si>
  <si>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</si>
  <si>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</si>
  <si>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</si>
  <si>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</si>
  <si>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</si>
  <si>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</si>
  <si>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</si>
  <si>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</si>
  <si>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</si>
  <si>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</si>
  <si>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</si>
  <si>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</si>
  <si>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</si>
  <si>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</si>
  <si>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</si>
  <si>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</si>
  <si>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</si>
  <si>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</si>
  <si>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</si>
  <si>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</si>
  <si>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</si>
  <si>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</si>
  <si>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</si>
  <si>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</si>
  <si>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</si>
  <si>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</si>
  <si>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</si>
  <si>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</si>
  <si>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</si>
  <si>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</si>
  <si>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</si>
  <si>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</si>
  <si>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</si>
  <si>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</si>
  <si>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</si>
  <si>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</si>
  <si>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</si>
  <si>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</si>
  <si>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</si>
  <si>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</si>
  <si>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</si>
  <si>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</si>
  <si>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</si>
  <si>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</si>
  <si>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</si>
  <si>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</si>
  <si>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</si>
  <si>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</si>
  <si>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</si>
  <si>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</si>
  <si>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</si>
  <si>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</si>
  <si>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</si>
  <si>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</si>
  <si>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</si>
  <si>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</si>
  <si>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</si>
  <si>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</si>
  <si>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</si>
  <si>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</si>
  <si>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</si>
  <si>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</si>
  <si>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</si>
  <si>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</si>
  <si>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</si>
  <si>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</si>
  <si>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</si>
  <si>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</si>
  <si>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</si>
  <si>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</si>
  <si>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</si>
  <si>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</si>
  <si>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</si>
  <si>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</si>
  <si>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</si>
  <si>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</si>
  <si>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</si>
  <si>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</si>
  <si>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</si>
  <si>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</si>
  <si>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</si>
  <si>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</si>
  <si>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</si>
  <si>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</si>
  <si>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</si>
  <si>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</si>
  <si>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</si>
  <si>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</si>
  <si>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</si>
  <si>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</si>
  <si>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</si>
  <si>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</si>
  <si>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</si>
  <si>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</si>
  <si>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</si>
  <si>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</si>
  <si>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</si>
  <si>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</si>
  <si>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</si>
  <si>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</si>
  <si>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</si>
  <si>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</si>
  <si>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</si>
  <si>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</si>
  <si>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</si>
  <si>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</si>
  <si>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</si>
  <si>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</si>
  <si>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</si>
  <si>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</si>
  <si>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</si>
  <si>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</si>
  <si>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</si>
  <si>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</si>
  <si>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</si>
  <si>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</si>
  <si>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</si>
  <si>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</si>
  <si>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</si>
  <si>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</si>
  <si>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</si>
  <si>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</si>
  <si>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</si>
  <si>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</si>
  <si>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</si>
  <si>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</si>
  <si>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</si>
  <si>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</si>
  <si>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</si>
  <si>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</si>
  <si>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</si>
  <si>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</si>
  <si>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</si>
  <si>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</si>
  <si>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</si>
  <si>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</si>
  <si>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</si>
  <si>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</si>
  <si>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</si>
  <si>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</si>
  <si>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</si>
  <si>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</si>
  <si>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</si>
  <si>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</si>
  <si>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</si>
  <si>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</si>
  <si>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</si>
  <si>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</si>
  <si>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</si>
  <si>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</si>
  <si>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</si>
  <si>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</si>
  <si>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</si>
  <si>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</si>
  <si>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</si>
  <si>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</si>
  <si>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</si>
  <si>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</si>
  <si>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</si>
  <si>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</si>
  <si>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</si>
  <si>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</si>
  <si>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</si>
  <si>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</si>
  <si>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</si>
  <si>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</si>
  <si>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</si>
  <si>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</si>
  <si>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</si>
  <si>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</si>
  <si>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</si>
  <si>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</si>
  <si>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</si>
  <si>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</si>
  <si>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</si>
  <si>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</si>
  <si>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</si>
  <si>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</si>
  <si>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</si>
  <si>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</si>
  <si>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</si>
  <si>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</si>
  <si>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</si>
  <si>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</si>
  <si>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</si>
  <si>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</si>
  <si>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</si>
  <si>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</si>
  <si>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</si>
  <si>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</si>
  <si>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</si>
  <si>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</si>
  <si>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</si>
  <si>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</si>
  <si>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</si>
  <si>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</si>
  <si>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</si>
  <si>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</si>
  <si>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</si>
  <si>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</si>
  <si>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</si>
  <si>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</si>
  <si>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</si>
  <si>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</si>
  <si>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</si>
  <si>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</si>
  <si>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</si>
  <si>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</si>
  <si>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</si>
  <si>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</si>
  <si>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</si>
  <si>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</si>
  <si>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</si>
  <si>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</si>
  <si>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</si>
  <si>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</si>
  <si>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</si>
  <si>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</si>
  <si>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</si>
  <si>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</si>
  <si>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</si>
  <si>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</si>
  <si>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</si>
  <si>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</si>
  <si>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</si>
  <si>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</si>
  <si>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</si>
  <si>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</si>
  <si>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</si>
  <si>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</si>
  <si>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</si>
  <si>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</si>
  <si>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</si>
  <si>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</si>
  <si>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</si>
  <si>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</si>
  <si>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</si>
  <si>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</si>
  <si>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</si>
  <si>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</si>
  <si>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</si>
  <si>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</si>
  <si>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</si>
  <si>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</si>
  <si>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</si>
  <si>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</si>
  <si>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</si>
  <si>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</si>
  <si>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</si>
  <si>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</si>
  <si>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</si>
  <si>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</si>
  <si>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</si>
  <si>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</si>
  <si>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</si>
  <si>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</si>
  <si>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</si>
  <si>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</si>
  <si>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</si>
  <si>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</si>
  <si>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</si>
  <si>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</si>
  <si>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</si>
  <si>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</si>
  <si>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</si>
  <si>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</si>
  <si>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</si>
  <si>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</si>
  <si>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</si>
  <si>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</si>
  <si>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</si>
  <si>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</si>
  <si>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</si>
  <si>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</si>
  <si>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</si>
  <si>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</si>
  <si>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</si>
  <si>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</si>
  <si>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</si>
  <si>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</si>
  <si>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</si>
  <si>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</si>
  <si>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</si>
  <si>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</si>
  <si>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</si>
  <si>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</si>
  <si>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</si>
  <si>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</si>
  <si>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</si>
  <si>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</si>
  <si>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</si>
  <si>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</si>
  <si>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</si>
  <si>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</si>
  <si>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</si>
  <si>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</si>
  <si>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</si>
  <si>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</si>
  <si>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</si>
  <si>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</si>
  <si>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</si>
  <si>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</si>
  <si>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</si>
  <si>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</si>
  <si>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</si>
  <si>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</si>
  <si>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</si>
  <si>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</si>
  <si>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</si>
  <si>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</si>
  <si>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</si>
  <si>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</si>
  <si>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</si>
  <si>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</si>
  <si>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</si>
  <si>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</si>
  <si>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</si>
  <si>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</si>
  <si>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</si>
  <si>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</si>
  <si>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</si>
  <si>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</si>
  <si>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</si>
  <si>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</si>
  <si>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</si>
  <si>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</si>
  <si>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</si>
  <si>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</si>
  <si>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</si>
  <si>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</si>
  <si>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</si>
  <si>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</si>
  <si>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</si>
  <si>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</si>
  <si>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</si>
  <si>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</si>
  <si>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</si>
  <si>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</si>
  <si>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</si>
  <si>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</si>
  <si>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</si>
  <si>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</si>
  <si>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</si>
  <si>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</si>
  <si>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</si>
  <si>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</si>
  <si>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</si>
  <si>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</si>
  <si>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</si>
  <si>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</si>
  <si>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</si>
  <si>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</si>
  <si>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</si>
  <si>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</si>
  <si>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</si>
  <si>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</si>
  <si>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</si>
  <si>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</si>
  <si>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</si>
  <si>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</si>
  <si>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</si>
  <si>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</si>
  <si>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</si>
  <si>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</si>
  <si>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</si>
  <si>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</si>
  <si>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</si>
  <si>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</si>
  <si>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</si>
  <si>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</si>
  <si>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</si>
  <si>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</si>
  <si>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</si>
  <si>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</si>
  <si>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</si>
  <si>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</si>
  <si>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</si>
  <si>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</si>
  <si>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</si>
  <si>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</si>
  <si>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</si>
  <si>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</si>
  <si>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</si>
  <si>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</si>
  <si>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</si>
  <si>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</si>
  <si>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</si>
  <si>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</si>
  <si>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</si>
  <si>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</si>
  <si>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</si>
  <si>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</si>
  <si>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</si>
  <si>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</si>
  <si>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</si>
  <si>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</si>
  <si>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</si>
  <si>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</si>
  <si>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</si>
  <si>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</si>
  <si>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</si>
  <si>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</si>
  <si>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</si>
  <si>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</si>
  <si>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</si>
  <si>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</si>
  <si>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</si>
  <si>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</si>
  <si>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</si>
  <si>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</si>
  <si>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</si>
  <si>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</si>
  <si>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</si>
  <si>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</si>
  <si>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</si>
  <si>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</si>
  <si>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</si>
  <si>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</si>
  <si>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</si>
  <si>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</si>
  <si>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</si>
  <si>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</si>
  <si>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</si>
  <si>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</si>
  <si>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</si>
  <si>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</si>
  <si>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</si>
  <si>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</si>
  <si>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</si>
  <si>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</si>
  <si>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</si>
  <si>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</si>
  <si>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</si>
  <si>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</si>
  <si>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</si>
  <si>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</si>
  <si>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</si>
  <si>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</si>
  <si>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</si>
  <si>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</si>
  <si>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</si>
  <si>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</si>
  <si>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</si>
  <si>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</si>
  <si>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</si>
  <si>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</si>
  <si>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</si>
  <si>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</si>
  <si>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</si>
  <si>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</si>
  <si>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</si>
  <si>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</si>
  <si>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</si>
  <si>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</si>
  <si>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</si>
  <si>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</si>
  <si>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</si>
  <si>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</si>
  <si>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</si>
  <si>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</si>
  <si>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</si>
  <si>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</si>
  <si>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</si>
  <si>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</si>
  <si>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</si>
  <si>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</si>
  <si>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</si>
  <si>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</si>
  <si>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</si>
  <si>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</si>
  <si>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</si>
  <si>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</si>
  <si>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</si>
  <si>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</si>
  <si>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</si>
  <si>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</si>
  <si>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</si>
  <si>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</si>
  <si>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</si>
  <si>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</si>
  <si>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</si>
  <si>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</si>
  <si>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</si>
  <si>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</si>
  <si>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</si>
  <si>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</si>
  <si>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</si>
  <si>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</si>
  <si>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</si>
  <si>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</si>
  <si>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</si>
  <si>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</si>
  <si>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</si>
  <si>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</si>
  <si>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</si>
  <si>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</si>
  <si>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</si>
  <si>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</si>
  <si>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</si>
  <si>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</si>
  <si>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</si>
  <si>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</si>
  <si>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</si>
  <si>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</si>
  <si>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</si>
  <si>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</si>
  <si>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</si>
  <si>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</si>
  <si>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</si>
  <si>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</si>
  <si>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</si>
  <si>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</si>
  <si>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</si>
  <si>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</si>
  <si>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</si>
  <si>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</si>
  <si>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</si>
  <si>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</si>
  <si>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</si>
  <si>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</si>
  <si>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</si>
  <si>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</si>
  <si>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</si>
  <si>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</si>
  <si>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</si>
  <si>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</si>
  <si>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</si>
  <si>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</si>
  <si>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</si>
  <si>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</si>
  <si>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</si>
  <si>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</si>
  <si>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</si>
  <si>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</si>
  <si>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</si>
  <si>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</si>
  <si>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</si>
  <si>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</si>
  <si>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</si>
  <si>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</si>
  <si>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</si>
  <si>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</si>
  <si>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</si>
  <si>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</si>
  <si>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</si>
  <si>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</si>
  <si>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</si>
  <si>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</si>
  <si>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</si>
  <si>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</si>
  <si>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</si>
  <si>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</si>
  <si>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</si>
  <si>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</si>
  <si>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</si>
  <si>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</si>
  <si>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</si>
  <si>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</si>
  <si>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</si>
  <si>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</si>
  <si>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</si>
  <si>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</si>
  <si>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</si>
  <si>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</si>
  <si>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</si>
  <si>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</si>
  <si>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</si>
  <si>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</si>
  <si>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</si>
  <si>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</si>
  <si>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</si>
  <si>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</si>
  <si>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</si>
  <si>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</si>
  <si>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</si>
  <si>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</si>
  <si>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</si>
  <si>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</si>
  <si>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</si>
  <si>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</si>
  <si>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</si>
  <si>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</si>
  <si>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</si>
  <si>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</si>
  <si>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</si>
  <si>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</si>
  <si>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</si>
  <si>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</si>
  <si>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</si>
  <si>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</si>
  <si>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</si>
  <si>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</si>
  <si>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</si>
  <si>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</si>
  <si>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</si>
  <si>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</si>
  <si>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</si>
  <si>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</si>
  <si>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</si>
  <si>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</si>
  <si>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</si>
  <si>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</si>
  <si>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</si>
  <si>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</si>
  <si>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</si>
  <si>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</si>
  <si>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</si>
  <si>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</si>
  <si>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</si>
  <si>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</si>
  <si>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</si>
  <si>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</si>
  <si>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</si>
  <si>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</si>
  <si>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</si>
  <si>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</si>
  <si>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</si>
  <si>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</si>
  <si>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</si>
  <si>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</si>
  <si>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</si>
  <si>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</si>
  <si>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</si>
  <si>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</si>
  <si>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</si>
  <si>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</si>
  <si>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</si>
  <si>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</si>
  <si>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</si>
  <si>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</si>
  <si>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</si>
  <si>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</si>
  <si>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</si>
  <si>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</si>
  <si>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</si>
  <si>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</si>
  <si>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</si>
  <si>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</si>
  <si>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</si>
  <si>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</si>
  <si>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</si>
  <si>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</si>
  <si>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</si>
  <si>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</si>
  <si>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</si>
  <si>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</si>
  <si>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</si>
  <si>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</si>
  <si>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</si>
  <si>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</si>
  <si>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</si>
  <si>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</si>
  <si>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</si>
  <si>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</si>
  <si>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</si>
  <si>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</si>
  <si>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</si>
  <si>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</si>
  <si>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</si>
  <si>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</si>
  <si>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</si>
  <si>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</si>
  <si>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</si>
  <si>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</si>
  <si>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</si>
  <si>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</si>
  <si>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</si>
  <si>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</si>
  <si>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</si>
  <si>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</si>
  <si>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</si>
  <si>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</si>
  <si>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</si>
  <si>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</si>
  <si>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</si>
  <si>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</si>
  <si>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</si>
  <si>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</si>
  <si>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</si>
  <si>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</si>
  <si>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</si>
  <si>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</si>
  <si>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</si>
  <si>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</si>
  <si>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</si>
  <si>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</si>
  <si>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</si>
  <si>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</si>
  <si>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</si>
  <si>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</si>
  <si>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</si>
  <si>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</si>
  <si>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</si>
  <si>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</si>
  <si>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</si>
  <si>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</si>
  <si>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</si>
  <si>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</si>
  <si>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</si>
  <si>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</si>
  <si>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</si>
  <si>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</si>
  <si>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</si>
  <si>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</si>
  <si>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</si>
  <si>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</si>
  <si>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</si>
  <si>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</si>
  <si>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</si>
  <si>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</si>
  <si>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</si>
  <si>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</si>
  <si>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</si>
  <si>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</si>
  <si>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</si>
  <si>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</si>
  <si>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</si>
  <si>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</si>
  <si>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</si>
  <si>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</si>
  <si>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</si>
  <si>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</si>
  <si>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</si>
  <si>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</si>
  <si>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</si>
  <si>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</si>
  <si>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</si>
  <si>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</si>
  <si>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</si>
  <si>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</si>
  <si>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</si>
  <si>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</si>
  <si>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</si>
  <si>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</si>
  <si>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</si>
  <si>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</si>
  <si>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</si>
  <si>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</si>
  <si>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</si>
  <si>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</si>
  <si>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</si>
  <si>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</si>
  <si>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</si>
  <si>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</si>
  <si>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</si>
  <si>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</si>
  <si>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</si>
  <si>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</si>
  <si>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</si>
  <si>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</si>
  <si>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</si>
  <si>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</si>
  <si>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</si>
  <si>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</si>
  <si>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</si>
  <si>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</si>
  <si>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</si>
  <si>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</si>
  <si>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</si>
  <si>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</si>
  <si>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</si>
  <si>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</si>
  <si>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</si>
  <si>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</si>
  <si>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</si>
  <si>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</si>
  <si>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</si>
  <si>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</si>
  <si>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</si>
  <si>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</si>
  <si>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</si>
  <si>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</si>
  <si>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</si>
  <si>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</si>
  <si>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</si>
  <si>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</si>
  <si>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</si>
  <si>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</si>
  <si>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</si>
  <si>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</si>
  <si>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</si>
  <si>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</si>
  <si>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</si>
  <si>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</si>
  <si>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</si>
  <si>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</si>
  <si>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</si>
  <si>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</si>
  <si>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</si>
  <si>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</si>
  <si>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</si>
  <si>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</si>
  <si>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</si>
  <si>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</si>
  <si>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</si>
  <si>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</si>
  <si>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</si>
  <si>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</si>
  <si>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</si>
  <si>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</si>
  <si>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</si>
  <si>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</si>
  <si>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</si>
  <si>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</si>
  <si>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</si>
  <si>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</si>
  <si>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</si>
  <si>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</si>
  <si>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</si>
  <si>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</si>
  <si>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</si>
  <si>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</si>
  <si>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</si>
  <si>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</si>
  <si>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</si>
  <si>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</si>
  <si>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</si>
  <si>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</si>
  <si>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</si>
  <si>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</si>
  <si>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</si>
  <si>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</si>
  <si>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</si>
  <si>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</si>
  <si>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</si>
  <si>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</si>
  <si>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</si>
  <si>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</si>
  <si>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</si>
  <si>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</si>
  <si>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</si>
  <si>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</si>
  <si>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</si>
  <si>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</si>
  <si>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</si>
  <si>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</si>
  <si>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</si>
  <si>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</si>
  <si>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</si>
  <si>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</si>
  <si>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</si>
  <si>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</si>
  <si>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</si>
  <si>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</si>
  <si>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</si>
  <si>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</si>
  <si>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</si>
  <si>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</si>
  <si>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</si>
  <si>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</si>
  <si>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</si>
  <si>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</si>
  <si>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</si>
  <si>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</si>
  <si>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</si>
  <si>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</si>
  <si>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</si>
  <si>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</si>
  <si>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</si>
  <si>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</si>
  <si>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</si>
  <si>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</si>
  <si>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</si>
  <si>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</si>
  <si>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</si>
  <si>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</si>
  <si>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</si>
  <si>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</si>
  <si>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</si>
  <si>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</si>
  <si>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</si>
  <si>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</si>
  <si>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</si>
  <si>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</si>
  <si>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</si>
  <si>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</si>
  <si>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</si>
  <si>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</si>
  <si>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</si>
  <si>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</si>
  <si>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</si>
  <si>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</si>
  <si>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</si>
  <si>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</si>
  <si>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</si>
  <si>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</si>
  <si>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</si>
  <si>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</si>
  <si>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</si>
  <si>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</si>
  <si>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</si>
  <si>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</si>
  <si>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</si>
  <si>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</si>
  <si>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</si>
  <si>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</si>
  <si>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</si>
  <si>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</si>
  <si>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</si>
  <si>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</si>
  <si>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</si>
  <si>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</si>
  <si>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</si>
  <si>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</si>
  <si>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</si>
  <si>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</si>
  <si>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</si>
  <si>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</si>
  <si>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</si>
  <si>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</si>
  <si>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</si>
  <si>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</si>
  <si>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</si>
  <si>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</si>
  <si>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</si>
  <si>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</si>
  <si>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</si>
  <si>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</si>
  <si>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</si>
  <si>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</si>
  <si>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</si>
  <si>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</si>
  <si>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</si>
  <si>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</si>
  <si>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</si>
  <si>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</si>
  <si>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</si>
  <si>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</si>
  <si>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</si>
  <si>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</si>
  <si>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</si>
  <si>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</si>
  <si>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</si>
  <si>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</si>
  <si>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</si>
  <si>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</si>
  <si>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</si>
  <si>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</si>
  <si>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</si>
  <si>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</si>
  <si>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</si>
  <si>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</si>
  <si>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</si>
  <si>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</si>
  <si>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</si>
  <si>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</si>
  <si>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</si>
  <si>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</si>
  <si>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</si>
  <si>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</si>
  <si>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</si>
  <si>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</si>
  <si>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</si>
  <si>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</si>
  <si>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</si>
  <si>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</si>
  <si>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</si>
  <si>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</si>
  <si>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</si>
  <si>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</si>
  <si>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</si>
  <si>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</si>
  <si>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</si>
  <si>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</si>
  <si>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</si>
  <si>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</si>
  <si>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</si>
  <si>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</si>
  <si>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</si>
  <si>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</si>
  <si>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</si>
  <si>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</si>
  <si>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</si>
  <si>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</si>
  <si>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</si>
  <si>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</si>
  <si>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</si>
  <si>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</si>
  <si>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</si>
  <si>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</si>
  <si>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</si>
  <si>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</si>
  <si>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</si>
  <si>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</si>
  <si>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</si>
  <si>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</si>
  <si>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</si>
  <si>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</si>
  <si>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</si>
  <si>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</si>
  <si>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</si>
  <si>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</si>
  <si>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</si>
  <si>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</si>
  <si>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</si>
  <si>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</si>
  <si>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</si>
  <si>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</si>
  <si>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</si>
  <si>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</si>
  <si>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</si>
  <si>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</si>
  <si>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</si>
  <si>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</si>
  <si>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</si>
  <si>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</si>
  <si>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</si>
  <si>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</si>
  <si>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</si>
  <si>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</si>
  <si>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</si>
  <si>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</si>
  <si>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</si>
  <si>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</si>
  <si>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</si>
  <si>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</si>
  <si>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</si>
  <si>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</si>
  <si>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</si>
  <si>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</si>
  <si>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</si>
  <si>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</si>
  <si>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</si>
  <si>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</si>
  <si>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</si>
  <si>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</si>
  <si>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</si>
  <si>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</si>
  <si>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</si>
  <si>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</si>
  <si>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</si>
  <si>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</si>
  <si>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</si>
  <si>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</si>
  <si>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</si>
  <si>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</si>
  <si>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</si>
  <si>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</si>
  <si>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</si>
  <si>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</si>
  <si>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</si>
  <si>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</si>
  <si>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</si>
  <si>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</si>
  <si>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</si>
  <si>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</si>
  <si>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</si>
  <si>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</si>
  <si>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</si>
  <si>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</si>
  <si>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</si>
  <si>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</si>
  <si>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</si>
  <si>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</si>
  <si>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</si>
  <si>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</si>
  <si>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</si>
  <si>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</si>
  <si>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</si>
  <si>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</si>
  <si>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</si>
  <si>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</si>
  <si>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</si>
  <si>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</si>
  <si>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</si>
  <si>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</si>
  <si>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</si>
  <si>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</si>
  <si>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</si>
  <si>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</si>
  <si>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</si>
  <si>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</si>
  <si>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</si>
  <si>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</si>
  <si>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</si>
  <si>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</si>
  <si>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</si>
  <si>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</si>
  <si>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</si>
  <si>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</si>
  <si>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</si>
  <si>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</si>
  <si>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</si>
  <si>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</si>
  <si>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</si>
  <si>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</si>
  <si>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</si>
  <si>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</si>
  <si>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</si>
  <si>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</si>
  <si>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</si>
  <si>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</si>
  <si>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</si>
  <si>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</si>
  <si>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</si>
  <si>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</si>
  <si>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</si>
  <si>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</si>
  <si>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</si>
  <si>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</si>
  <si>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</si>
  <si>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</si>
  <si>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</si>
  <si>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</si>
  <si>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</si>
  <si>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</si>
  <si>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</si>
  <si>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</si>
  <si>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</si>
  <si>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</si>
  <si>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</si>
  <si>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</si>
  <si>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</si>
  <si>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</si>
  <si>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</si>
  <si>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</si>
  <si>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</si>
  <si>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</si>
  <si>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</si>
  <si>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</si>
  <si>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</si>
  <si>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</si>
  <si>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</si>
  <si>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</si>
  <si>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</si>
  <si>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</si>
  <si>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</si>
  <si>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</si>
  <si>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</si>
  <si>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</si>
  <si>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</si>
  <si>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</si>
  <si>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</si>
  <si>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</si>
  <si>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</si>
  <si>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</si>
  <si>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</si>
  <si>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</si>
  <si>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</si>
  <si>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</si>
  <si>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</si>
  <si>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</si>
  <si>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</si>
  <si>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</si>
  <si>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</si>
  <si>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</si>
  <si>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</si>
  <si>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</si>
  <si>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</si>
  <si>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</si>
  <si>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</si>
  <si>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</si>
  <si>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</si>
  <si>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</si>
  <si>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</si>
  <si>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</si>
  <si>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</si>
  <si>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</si>
  <si>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</si>
  <si>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</si>
  <si>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</si>
  <si>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</si>
  <si>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</si>
  <si>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</si>
  <si>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</si>
  <si>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</si>
  <si>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</si>
  <si>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</si>
  <si>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</si>
  <si>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</si>
  <si>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</si>
  <si>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</si>
  <si>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</si>
  <si>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</si>
  <si>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</si>
  <si>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</si>
  <si>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</si>
  <si>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</si>
  <si>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</si>
  <si>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</si>
  <si>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</si>
  <si>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</si>
  <si>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</si>
  <si>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</si>
  <si>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</si>
  <si>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</si>
  <si>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</si>
  <si>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</si>
  <si>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</si>
  <si>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</si>
  <si>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</si>
  <si>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</si>
  <si>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</si>
  <si>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</si>
  <si>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</si>
  <si>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</si>
  <si>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</si>
  <si>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</si>
  <si>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</si>
  <si>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</si>
  <si>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</si>
  <si>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</si>
  <si>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</si>
  <si>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</si>
  <si>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</si>
  <si>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</si>
  <si>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</si>
  <si>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</si>
  <si>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</si>
  <si>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</si>
  <si>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</si>
  <si>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</si>
  <si>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</si>
  <si>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</si>
  <si>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</si>
  <si>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</si>
  <si>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</si>
  <si>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</si>
  <si>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</si>
  <si>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</si>
  <si>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</si>
  <si>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</si>
  <si>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</si>
  <si>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</si>
  <si>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</si>
  <si>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</si>
  <si>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</si>
  <si>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</si>
  <si>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</si>
  <si>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</si>
  <si>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</si>
  <si>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</si>
  <si>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</si>
  <si>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</si>
  <si>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</si>
  <si>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</si>
  <si>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</si>
  <si>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</si>
  <si>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</si>
  <si>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</si>
  <si>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</si>
  <si>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</si>
  <si>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</si>
  <si>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</si>
  <si>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</si>
  <si>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</si>
  <si>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</si>
  <si>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</si>
  <si>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</si>
  <si>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</si>
  <si>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</si>
  <si>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</si>
  <si>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</si>
  <si>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</si>
  <si>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</si>
  <si>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</si>
  <si>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</si>
  <si>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</si>
  <si>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</si>
  <si>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</si>
  <si>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</si>
  <si>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</si>
  <si>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</si>
  <si>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</si>
  <si>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</si>
  <si>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</si>
  <si>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</si>
  <si>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</si>
  <si>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</si>
  <si>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</si>
  <si>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</si>
  <si>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</si>
  <si>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</si>
  <si>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</si>
  <si>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</si>
  <si>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</si>
  <si>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</si>
  <si>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</si>
  <si>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</si>
  <si>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</si>
  <si>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</si>
  <si>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</si>
  <si>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</si>
  <si>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</si>
  <si>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</si>
  <si>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</si>
  <si>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</si>
  <si>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</si>
  <si>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</si>
  <si>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</si>
  <si>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</si>
  <si>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</si>
  <si>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</si>
  <si>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</si>
  <si>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</si>
  <si>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</si>
  <si>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</si>
  <si>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</si>
  <si>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</si>
  <si>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</si>
  <si>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</si>
  <si>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</si>
  <si>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</si>
  <si>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</si>
  <si>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</si>
  <si>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</si>
  <si>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</si>
  <si>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</si>
  <si>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</si>
  <si>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</si>
  <si>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</si>
  <si>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</si>
  <si>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</si>
  <si>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</si>
  <si>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</si>
  <si>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</si>
  <si>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</si>
  <si>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</si>
  <si>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</si>
  <si>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</si>
  <si>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</si>
  <si>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</si>
  <si>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</si>
  <si>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</si>
  <si>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</si>
  <si>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</si>
  <si>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</si>
  <si>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</si>
  <si>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</si>
  <si>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</si>
  <si>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</si>
  <si>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</si>
  <si>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</si>
  <si>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</si>
  <si>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</si>
  <si>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</si>
  <si>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</si>
  <si>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</si>
  <si>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</si>
  <si>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</si>
  <si>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</si>
  <si>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</si>
  <si>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</si>
  <si>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</si>
  <si>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</si>
  <si>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</si>
  <si>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</si>
  <si>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</si>
  <si>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</si>
  <si>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</si>
  <si>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</si>
  <si>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</si>
  <si>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</si>
  <si>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</si>
  <si>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</si>
  <si>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</si>
  <si>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</si>
  <si>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</si>
  <si>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</si>
  <si>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</si>
  <si>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</si>
  <si>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</si>
  <si>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</si>
  <si>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</si>
  <si>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</si>
  <si>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</si>
  <si>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</si>
  <si>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</si>
  <si>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</si>
  <si>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</si>
  <si>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</si>
  <si>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</si>
  <si>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</si>
  <si>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</si>
  <si>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</si>
  <si>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</si>
  <si>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</si>
  <si>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</si>
  <si>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</si>
  <si>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</si>
  <si>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</si>
  <si>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</si>
  <si>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</si>
  <si>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</si>
  <si>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</si>
  <si>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</si>
  <si>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</si>
  <si>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</si>
  <si>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</si>
  <si>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</si>
  <si>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</si>
  <si>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</si>
  <si>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</si>
  <si>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</si>
  <si>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</si>
  <si>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</si>
  <si>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</si>
  <si>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</si>
  <si>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</si>
  <si>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</si>
  <si>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</si>
  <si>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</si>
  <si>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</si>
  <si>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</si>
  <si>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</si>
  <si>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</si>
  <si>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</si>
  <si>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</si>
  <si>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</si>
  <si>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</si>
  <si>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</si>
  <si>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</si>
  <si>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</si>
  <si>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</si>
  <si>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</si>
  <si>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</si>
  <si>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</si>
  <si>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</si>
  <si>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</si>
  <si>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</si>
  <si>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</si>
  <si>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</si>
  <si>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</si>
  <si>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</si>
  <si>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</si>
  <si>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</si>
  <si>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</si>
  <si>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</si>
  <si>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</si>
  <si>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</si>
  <si>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</si>
  <si>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</si>
  <si>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</si>
  <si>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</si>
  <si>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</si>
  <si>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</si>
  <si>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</si>
  <si>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</si>
  <si>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</si>
  <si>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</si>
  <si>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</si>
  <si>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</si>
  <si>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</si>
  <si>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</si>
  <si>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</si>
  <si>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</si>
  <si>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</si>
  <si>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</si>
  <si>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</si>
  <si>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</si>
  <si>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</si>
  <si>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</si>
  <si>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</si>
  <si>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</si>
  <si>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</si>
  <si>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</si>
  <si>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</si>
  <si>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</si>
  <si>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</si>
  <si>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</si>
  <si>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</si>
  <si>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</si>
  <si>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</si>
  <si>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</si>
  <si>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</si>
  <si>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</si>
  <si>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</si>
  <si>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</si>
  <si>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</si>
  <si>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</si>
  <si>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</si>
  <si>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</si>
  <si>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</si>
  <si>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</si>
  <si>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</si>
  <si>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</si>
  <si>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</si>
  <si>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</si>
  <si>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</si>
  <si>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</si>
  <si>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</si>
  <si>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</si>
  <si>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</si>
  <si>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</si>
  <si>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</si>
  <si>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</si>
  <si>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</si>
  <si>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</si>
  <si>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</si>
  <si>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</si>
  <si>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</si>
  <si>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</si>
  <si>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</si>
  <si>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</si>
  <si>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</si>
  <si>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</si>
  <si>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</si>
  <si>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</si>
  <si>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</si>
  <si>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</si>
  <si>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</si>
  <si>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</si>
  <si>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</si>
  <si>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</si>
  <si>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</si>
  <si>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</si>
  <si>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</si>
  <si>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</si>
  <si>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</si>
  <si>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</si>
  <si>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</si>
  <si>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</si>
  <si>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</si>
  <si>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</si>
  <si>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</si>
  <si>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</si>
  <si>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</si>
  <si>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</si>
  <si>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</si>
  <si>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</si>
  <si>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</si>
  <si>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</si>
  <si>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</si>
  <si>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</si>
  <si>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</si>
  <si>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</si>
  <si>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</si>
  <si>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</si>
  <si>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</si>
  <si>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</si>
  <si>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</si>
  <si>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</si>
  <si>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</si>
  <si>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</si>
  <si>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</si>
  <si>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</si>
  <si>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</si>
  <si>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</si>
  <si>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</si>
  <si>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</si>
  <si>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</si>
  <si>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</si>
  <si>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</si>
  <si>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</si>
  <si>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</si>
  <si>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</si>
  <si>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</si>
  <si>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</si>
  <si>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</si>
  <si>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</si>
  <si>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</si>
  <si>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</si>
  <si>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</si>
  <si>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</si>
  <si>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</si>
  <si>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</si>
  <si>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</si>
  <si>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</si>
  <si>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</si>
  <si>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</si>
  <si>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</si>
  <si>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</si>
  <si>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</si>
  <si>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</si>
  <si>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</si>
  <si>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</si>
  <si>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</si>
  <si>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</si>
  <si>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</si>
  <si>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</si>
  <si>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</si>
  <si>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</si>
  <si>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</si>
  <si>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</si>
  <si>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</si>
  <si>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</si>
  <si>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</si>
  <si>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</si>
  <si>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</si>
  <si>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</si>
  <si>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</si>
  <si>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</si>
  <si>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</si>
  <si>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</si>
  <si>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</si>
  <si>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</si>
  <si>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</si>
  <si>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</si>
  <si>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</si>
  <si>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</si>
  <si>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</si>
  <si>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</si>
  <si>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</si>
  <si>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</si>
  <si>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</si>
  <si>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</si>
  <si>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</si>
  <si>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</si>
  <si>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</si>
  <si>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</si>
  <si>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</si>
  <si>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</si>
  <si>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</si>
  <si>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</si>
  <si>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</si>
  <si>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</si>
  <si>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</si>
  <si>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</si>
  <si>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</si>
  <si>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</si>
  <si>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</si>
  <si>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</si>
  <si>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</si>
  <si>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</si>
  <si>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</si>
  <si>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</si>
  <si>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</si>
  <si>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</si>
  <si>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</si>
  <si>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</si>
  <si>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</si>
  <si>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</si>
  <si>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</si>
  <si>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</si>
  <si>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</si>
  <si>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</si>
  <si>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</si>
  <si>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</si>
  <si>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</si>
  <si>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</si>
  <si>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</si>
  <si>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</si>
  <si>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</si>
  <si>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</si>
  <si>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</si>
  <si>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</si>
  <si>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</si>
  <si>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</si>
  <si>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</si>
  <si>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</si>
  <si>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</si>
  <si>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</si>
  <si>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</si>
  <si>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</si>
  <si>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</si>
  <si>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</si>
  <si>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</si>
  <si>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</si>
  <si>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</si>
  <si>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</si>
  <si>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</si>
  <si>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</si>
  <si>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</si>
  <si>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</si>
  <si>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</si>
  <si>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</si>
  <si>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</si>
  <si>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</si>
  <si>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</si>
  <si>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</si>
  <si>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</si>
  <si>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</si>
  <si>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</si>
  <si>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</si>
  <si>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</si>
  <si>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</si>
  <si>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</si>
  <si>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</si>
  <si>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</si>
  <si>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</si>
  <si>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</si>
  <si>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</si>
  <si>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</si>
  <si>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</si>
  <si>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</si>
  <si>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</si>
  <si>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</si>
  <si>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</si>
  <si>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</si>
  <si>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</si>
  <si>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</si>
  <si>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</si>
  <si>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</si>
  <si>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</si>
  <si>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</si>
  <si>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</si>
  <si>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</si>
  <si>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</si>
  <si>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</si>
  <si>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</si>
  <si>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</si>
  <si>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</si>
  <si>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</si>
  <si>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</si>
  <si>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</si>
  <si>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</si>
  <si>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</si>
  <si>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</si>
  <si>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</si>
  <si>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</si>
  <si>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</si>
  <si>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</si>
  <si>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</si>
  <si>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</si>
  <si>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</si>
  <si>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</si>
  <si>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</si>
  <si>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</si>
  <si>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</si>
  <si>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</si>
  <si>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</si>
  <si>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</si>
  <si>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</si>
  <si>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</si>
  <si>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</si>
  <si>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</si>
  <si>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</si>
  <si>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</si>
  <si>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</si>
  <si>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</si>
  <si>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</si>
  <si>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</si>
  <si>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</si>
  <si>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</si>
  <si>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</si>
  <si>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</si>
  <si>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</si>
  <si>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</si>
  <si>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</si>
  <si>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</si>
  <si>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</si>
  <si>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</si>
  <si>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</si>
  <si>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</si>
  <si>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</si>
  <si>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</si>
  <si>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</si>
  <si>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</si>
  <si>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</si>
  <si>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</si>
  <si>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</si>
  <si>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</si>
  <si>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</si>
  <si>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</si>
  <si>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</si>
  <si>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</si>
  <si>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</si>
  <si>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</si>
  <si>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</si>
  <si>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</si>
  <si>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</si>
  <si>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</si>
  <si>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</si>
  <si>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</si>
  <si>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</si>
  <si>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</si>
  <si>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</si>
  <si>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</si>
  <si>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</si>
  <si>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</si>
  <si>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</si>
  <si>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</si>
  <si>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</si>
  <si>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</si>
  <si>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</si>
  <si>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</si>
  <si>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</si>
  <si>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</si>
  <si>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</si>
  <si>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</si>
  <si>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</si>
  <si>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</si>
  <si>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</si>
  <si>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</si>
  <si>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</si>
  <si>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</si>
  <si>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</si>
  <si>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</si>
  <si>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</si>
  <si>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</si>
  <si>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</si>
  <si>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</si>
  <si>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</si>
  <si>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</si>
  <si>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</si>
  <si>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</si>
  <si>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</si>
  <si>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</si>
  <si>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</si>
  <si>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</si>
  <si>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</si>
  <si>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</si>
  <si>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</si>
  <si>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</si>
  <si>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</si>
  <si>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</si>
  <si>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</si>
  <si>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</si>
  <si>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</si>
  <si>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</si>
  <si>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</si>
  <si>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</si>
  <si>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</si>
  <si>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</si>
  <si>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</si>
  <si>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</si>
  <si>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</si>
  <si>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</si>
  <si>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</si>
  <si>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</si>
  <si>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</si>
  <si>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</si>
  <si>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</si>
  <si>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</si>
  <si>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</si>
  <si>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</si>
  <si>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</si>
  <si>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</si>
  <si>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</si>
  <si>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</si>
  <si>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</si>
  <si>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</si>
  <si>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</si>
  <si>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</si>
  <si>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</si>
  <si>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</si>
  <si>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</si>
  <si>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</si>
  <si>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</si>
  <si>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</si>
  <si>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</si>
  <si>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</si>
  <si>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</si>
  <si>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</si>
  <si>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</si>
  <si>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</si>
  <si>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</si>
  <si>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</si>
  <si>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</si>
  <si>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</si>
  <si>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</si>
  <si>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</si>
  <si>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</si>
  <si>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</si>
  <si>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</si>
  <si>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</si>
  <si>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</si>
  <si>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</si>
  <si>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</si>
  <si>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</si>
  <si>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</si>
  <si>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</si>
  <si>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</si>
  <si>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</si>
  <si>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</si>
  <si>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</si>
  <si>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</si>
  <si>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</si>
  <si>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</si>
  <si>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</si>
  <si>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</si>
  <si>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</si>
  <si>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</si>
  <si>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</si>
  <si>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</si>
  <si>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</si>
  <si>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</si>
  <si>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</si>
  <si>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</si>
  <si>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</si>
  <si>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</si>
  <si>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</si>
  <si>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</si>
  <si>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</si>
  <si>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</si>
  <si>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</si>
  <si>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</si>
  <si>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</si>
  <si>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</si>
  <si>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</si>
  <si>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</si>
  <si>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</si>
  <si>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</si>
  <si>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</si>
  <si>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</si>
  <si>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</si>
  <si>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</si>
  <si>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</si>
  <si>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</si>
  <si>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</si>
  <si>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</si>
  <si>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</si>
  <si>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</si>
  <si>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</si>
  <si>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</si>
  <si>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</si>
  <si>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</si>
  <si>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</si>
  <si>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</si>
  <si>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</si>
  <si>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</si>
  <si>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</si>
  <si>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</si>
  <si>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</si>
  <si>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</si>
  <si>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</si>
  <si>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</si>
  <si>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</si>
  <si>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</si>
  <si>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</si>
  <si>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</si>
  <si>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</si>
  <si>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</si>
  <si>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</si>
  <si>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</si>
  <si>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</si>
  <si>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</si>
  <si>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</si>
  <si>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</si>
  <si>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</si>
  <si>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</si>
  <si>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</si>
  <si>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</si>
  <si>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</si>
  <si>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</si>
  <si>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</si>
  <si>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</si>
  <si>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</si>
  <si>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</si>
  <si>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</si>
  <si>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</si>
  <si>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</si>
  <si>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</si>
  <si>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</si>
  <si>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</si>
  <si>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</si>
  <si>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</si>
  <si>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</si>
  <si>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</si>
  <si>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</si>
  <si>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</si>
  <si>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</si>
  <si>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</si>
  <si>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</si>
  <si>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</si>
  <si>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</si>
  <si>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</si>
  <si>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</si>
  <si>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</si>
  <si>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</si>
  <si>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</si>
  <si>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</si>
  <si>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</si>
  <si>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</si>
  <si>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</si>
  <si>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</si>
  <si>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</si>
  <si>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</si>
  <si>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</si>
  <si>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</si>
  <si>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</si>
  <si>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</si>
  <si>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</si>
  <si>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</si>
  <si>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</si>
  <si>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</si>
  <si>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</si>
  <si>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</si>
  <si>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</si>
  <si>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</si>
  <si>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</si>
  <si>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</si>
  <si>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</si>
  <si>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</si>
  <si>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</si>
  <si>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</si>
  <si>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</si>
  <si>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</si>
  <si>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</si>
  <si>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</si>
  <si>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</si>
  <si>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</si>
  <si>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</si>
  <si>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</si>
  <si>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</si>
  <si>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</si>
  <si>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</si>
  <si>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</si>
  <si>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</si>
  <si>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</si>
  <si>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</si>
  <si>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</si>
  <si>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</si>
  <si>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</si>
  <si>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</si>
  <si>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</si>
  <si>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</si>
  <si>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</si>
  <si>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</si>
  <si>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</si>
  <si>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</si>
  <si>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</si>
  <si>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</si>
  <si>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</si>
  <si>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</si>
  <si>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</si>
  <si>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</si>
  <si>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</si>
  <si>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</si>
  <si>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</si>
  <si>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</si>
  <si>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</si>
  <si>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</si>
  <si>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</si>
  <si>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</si>
  <si>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</si>
  <si>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</si>
  <si>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</si>
  <si>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</si>
  <si>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</si>
  <si>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</si>
  <si>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</si>
  <si>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</si>
  <si>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</si>
  <si>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</si>
  <si>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</si>
  <si>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</si>
  <si>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</si>
  <si>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</si>
  <si>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</si>
  <si>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</si>
  <si>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</si>
  <si>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</si>
  <si>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</si>
  <si>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</si>
  <si>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</si>
  <si>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</si>
  <si>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</si>
  <si>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</si>
  <si>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</si>
  <si>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</si>
  <si>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</si>
  <si>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</si>
  <si>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</si>
  <si>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</si>
  <si>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</si>
  <si>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</si>
  <si>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</si>
  <si>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</si>
  <si>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</si>
  <si>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</si>
  <si>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</si>
  <si>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</si>
  <si>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</si>
  <si>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</si>
  <si>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</si>
  <si>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</si>
  <si>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</si>
  <si>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</si>
  <si>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</si>
  <si>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</si>
  <si>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</si>
  <si>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</si>
  <si>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</si>
  <si>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</si>
  <si>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</si>
  <si>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</si>
  <si>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</si>
  <si>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</si>
  <si>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</si>
  <si>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</si>
  <si>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</si>
  <si>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</si>
  <si>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</si>
  <si>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</si>
  <si>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</si>
  <si>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</si>
  <si>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</si>
  <si>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</si>
  <si>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</si>
  <si>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</si>
  <si>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</si>
  <si>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</si>
  <si>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</si>
  <si>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</si>
  <si>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</si>
  <si>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</si>
  <si>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</si>
  <si>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</si>
  <si>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</si>
  <si>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</si>
  <si>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</si>
  <si>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</si>
  <si>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</si>
  <si>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</si>
  <si>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</si>
  <si>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</si>
  <si>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</si>
  <si>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</si>
  <si>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</si>
  <si>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</si>
  <si>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</si>
  <si>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</si>
  <si>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</si>
  <si>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</si>
  <si>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</si>
  <si>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</si>
  <si>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</si>
  <si>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</si>
  <si>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</si>
  <si>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</si>
  <si>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</si>
  <si>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</si>
  <si>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</si>
  <si>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</si>
  <si>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</si>
  <si>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</si>
  <si>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</si>
  <si>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</si>
  <si>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</si>
  <si>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</si>
  <si>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</si>
  <si>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</si>
  <si>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</si>
  <si>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</si>
  <si>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</si>
  <si>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</si>
  <si>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</si>
  <si>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</si>
  <si>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</si>
  <si>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</si>
  <si>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</si>
  <si>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</si>
  <si>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</si>
  <si>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</si>
  <si>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</si>
  <si>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</si>
  <si>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</si>
  <si>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</si>
  <si>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</si>
  <si>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</si>
  <si>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</si>
  <si>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</si>
  <si>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</si>
  <si>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</si>
  <si>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</si>
  <si>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</si>
  <si>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</si>
  <si>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</si>
  <si>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</si>
  <si>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</si>
  <si>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</si>
  <si>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</si>
  <si>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</si>
  <si>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</si>
  <si>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</si>
  <si>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</si>
  <si>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</si>
  <si>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</si>
  <si>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</si>
  <si>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</si>
  <si>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</si>
  <si>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</si>
  <si>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</si>
  <si>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</si>
  <si>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</si>
  <si>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</si>
  <si>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</si>
  <si>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</si>
  <si>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</si>
  <si>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</si>
  <si>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</si>
  <si>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</si>
  <si>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</si>
  <si>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</si>
  <si>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</si>
  <si>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</si>
  <si>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</si>
  <si>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</si>
  <si>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</si>
  <si>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</si>
  <si>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</si>
  <si>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</si>
  <si>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</si>
  <si>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</si>
  <si>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</si>
  <si>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</si>
  <si>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</si>
  <si>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</si>
  <si>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</si>
  <si>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</si>
  <si>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</si>
  <si>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</si>
  <si>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</si>
  <si>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</si>
  <si>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</si>
  <si>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</si>
  <si>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</si>
  <si>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</si>
  <si>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</si>
  <si>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</si>
  <si>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</si>
  <si>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</si>
  <si>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</si>
  <si>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</si>
  <si>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</si>
  <si>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</si>
  <si>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</si>
  <si>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</si>
  <si>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</si>
  <si>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</si>
  <si>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</si>
  <si>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</si>
  <si>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</si>
  <si>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</si>
  <si>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</si>
  <si>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</si>
  <si>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</si>
  <si>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</si>
  <si>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</si>
  <si>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</si>
  <si>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</si>
  <si>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</si>
  <si>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</si>
  <si>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</si>
  <si>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</si>
  <si>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</si>
  <si>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</si>
  <si>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</si>
  <si>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</si>
  <si>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</si>
  <si>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</si>
  <si>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</si>
  <si>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</si>
  <si>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</si>
  <si>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</si>
  <si>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</si>
  <si>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</si>
  <si>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</si>
  <si>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</si>
  <si>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</si>
  <si>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</si>
  <si>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</si>
  <si>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</si>
  <si>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</si>
  <si>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</si>
  <si>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</si>
  <si>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</si>
  <si>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</si>
  <si>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</si>
  <si>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</si>
  <si>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</si>
  <si>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</si>
  <si>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</si>
  <si>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</si>
  <si>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</si>
  <si>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</si>
  <si>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</si>
  <si>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</si>
  <si>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</si>
  <si>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</si>
  <si>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</si>
  <si>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</si>
  <si>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</si>
  <si>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</si>
  <si>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</si>
  <si>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</si>
  <si>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</si>
  <si>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</si>
  <si>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</si>
  <si>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</si>
  <si>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</si>
  <si>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</si>
  <si>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</si>
  <si>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</si>
  <si>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</si>
  <si>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</si>
  <si>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</si>
  <si>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</si>
  <si>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</si>
  <si>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</si>
  <si>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</si>
  <si>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</si>
  <si>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</si>
  <si>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</si>
  <si>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</si>
  <si>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</si>
  <si>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</si>
  <si>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</si>
  <si>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</si>
  <si>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</si>
  <si>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</si>
  <si>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</si>
  <si>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</si>
  <si>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</si>
  <si>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</si>
  <si>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</si>
  <si>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</si>
  <si>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</si>
  <si>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</si>
  <si>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</si>
  <si>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</si>
  <si>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</si>
  <si>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</si>
  <si>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</si>
  <si>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</si>
  <si>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</si>
  <si>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</si>
  <si>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</si>
  <si>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</si>
  <si>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</si>
  <si>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</si>
  <si>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</si>
  <si>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</si>
  <si>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</si>
  <si>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</si>
  <si>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</si>
  <si>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</si>
  <si>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</si>
  <si>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</si>
  <si>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</si>
  <si>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</si>
  <si>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</si>
  <si>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</si>
  <si>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</si>
  <si>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</si>
  <si>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</si>
  <si>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</si>
  <si>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</si>
  <si>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</si>
  <si>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</si>
  <si>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</si>
  <si>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</si>
  <si>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</si>
  <si>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</si>
  <si>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</si>
  <si>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</si>
  <si>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</si>
  <si>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</si>
  <si>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</si>
  <si>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</si>
  <si>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</si>
  <si>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</si>
  <si>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</si>
  <si>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</si>
  <si>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</si>
  <si>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</si>
  <si>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</si>
  <si>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</si>
  <si>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</si>
  <si>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</si>
  <si>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</si>
  <si>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</si>
  <si>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</si>
  <si>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</si>
  <si>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</si>
  <si>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</si>
  <si>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</si>
  <si>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</si>
  <si>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</si>
  <si>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</si>
  <si>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</si>
  <si>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</si>
  <si>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</si>
  <si>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</si>
  <si>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</si>
  <si>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</si>
  <si>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</si>
  <si>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</si>
  <si>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</si>
  <si>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</si>
  <si>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</si>
  <si>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</si>
  <si>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</si>
  <si>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</si>
  <si>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</si>
  <si>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</si>
  <si>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</si>
  <si>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</si>
  <si>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</si>
  <si>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</si>
  <si>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</si>
  <si>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</si>
  <si>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</si>
  <si>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</si>
  <si>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</si>
  <si>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</si>
  <si>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</si>
  <si>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</si>
  <si>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</si>
  <si>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</si>
  <si>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</si>
  <si>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</si>
  <si>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</si>
  <si>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</si>
  <si>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</si>
  <si>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</si>
  <si>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</si>
  <si>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</si>
  <si>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</si>
  <si>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</si>
  <si>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</si>
  <si>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</si>
  <si>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</si>
  <si>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</si>
  <si>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</si>
  <si>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</si>
  <si>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</si>
  <si>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</si>
  <si>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</si>
  <si>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</si>
  <si>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</si>
  <si>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</si>
  <si>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</si>
  <si>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</si>
  <si>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</si>
  <si>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</si>
  <si>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</si>
  <si>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</si>
  <si>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</si>
  <si>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</si>
  <si>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</si>
  <si>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</si>
  <si>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</si>
  <si>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</si>
  <si>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</si>
  <si>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</si>
  <si>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</si>
  <si>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</si>
  <si>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</si>
  <si>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</si>
  <si>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</si>
  <si>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</si>
  <si>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</si>
  <si>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</si>
  <si>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</si>
  <si>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</si>
  <si>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</si>
  <si>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</si>
  <si>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</si>
  <si>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</si>
  <si>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</si>
  <si>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</si>
  <si>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</si>
  <si>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</si>
  <si>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</si>
  <si>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</si>
  <si>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</si>
  <si>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</si>
  <si>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</si>
  <si>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</si>
  <si>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</si>
  <si>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</si>
  <si>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</si>
  <si>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</si>
  <si>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</si>
  <si>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</si>
  <si>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</si>
  <si>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</si>
  <si>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</si>
  <si>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</si>
  <si>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</si>
  <si>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</si>
  <si>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</si>
  <si>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</si>
  <si>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</si>
  <si>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</si>
  <si>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</si>
  <si>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</si>
  <si>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</si>
  <si>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</si>
  <si>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</si>
  <si>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</si>
  <si>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</si>
  <si>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</si>
  <si>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</si>
  <si>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</si>
  <si>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</si>
  <si>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</si>
  <si>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</si>
  <si>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</si>
  <si>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</si>
  <si>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</si>
  <si>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</si>
  <si>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</si>
  <si>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</si>
  <si>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</si>
  <si>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</si>
  <si>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</si>
  <si>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</si>
  <si>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</si>
  <si>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</si>
  <si>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</si>
  <si>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</si>
  <si>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</si>
  <si>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</si>
  <si>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</si>
  <si>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</si>
  <si>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</si>
  <si>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</si>
  <si>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</si>
  <si>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</si>
  <si>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</si>
  <si>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</si>
  <si>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</si>
  <si>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</si>
  <si>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</si>
  <si>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</si>
  <si>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</si>
  <si>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</si>
  <si>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</si>
  <si>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</si>
  <si>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</si>
  <si>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</si>
  <si>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</si>
  <si>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</si>
  <si>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</si>
  <si>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</si>
  <si>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</si>
  <si>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</si>
  <si>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</si>
  <si>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</si>
  <si>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</si>
  <si>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</si>
  <si>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</si>
  <si>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</si>
  <si>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</si>
  <si>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</si>
  <si>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</si>
  <si>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</si>
  <si>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</si>
  <si>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</si>
  <si>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</si>
  <si>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</si>
  <si>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</si>
  <si>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</si>
  <si>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</si>
  <si>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</si>
  <si>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</si>
  <si>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</si>
  <si>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</si>
  <si>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</si>
  <si>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</si>
  <si>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</si>
  <si>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</si>
  <si>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</si>
  <si>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</si>
  <si>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</si>
  <si>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</si>
  <si>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</si>
  <si>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</si>
  <si>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</si>
  <si>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</si>
  <si>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</si>
  <si>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</si>
  <si>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</si>
  <si>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</si>
  <si>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</si>
  <si>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</si>
  <si>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</si>
  <si>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</si>
  <si>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</si>
  <si>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</si>
  <si>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</si>
  <si>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</si>
  <si>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</si>
  <si>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</si>
  <si>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</si>
  <si>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</si>
  <si>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</si>
  <si>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</si>
  <si>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</si>
  <si>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</si>
  <si>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</si>
  <si>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</si>
  <si>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</si>
  <si>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</si>
  <si>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</si>
  <si>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</si>
  <si>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</si>
  <si>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</si>
  <si>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</si>
  <si>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</si>
  <si>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</si>
  <si>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</si>
  <si>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</si>
  <si>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</si>
  <si>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</si>
  <si>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</si>
  <si>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</si>
  <si>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</si>
  <si>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</si>
  <si>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</si>
  <si>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</si>
  <si>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</si>
  <si>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</si>
  <si>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</si>
  <si>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</si>
  <si>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</si>
  <si>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</si>
  <si>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</si>
  <si>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</si>
  <si>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</si>
  <si>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</si>
  <si>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</si>
  <si>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</si>
  <si>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</si>
  <si>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</si>
  <si>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</si>
  <si>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</si>
  <si>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</si>
  <si>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</si>
  <si>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</si>
  <si>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</si>
  <si>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</si>
  <si>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</si>
  <si>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</si>
  <si>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</si>
  <si>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</si>
  <si>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</si>
  <si>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</si>
  <si>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</si>
  <si>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</si>
  <si>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</si>
  <si>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</si>
  <si>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</si>
  <si>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</si>
  <si>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</si>
  <si>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</si>
  <si>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</si>
  <si>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</si>
  <si>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</si>
  <si>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</si>
  <si>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</si>
  <si>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</si>
  <si>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</si>
  <si>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</si>
  <si>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</si>
  <si>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</si>
  <si>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</si>
  <si>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</si>
  <si>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</si>
  <si>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</si>
  <si>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</si>
  <si>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</si>
  <si>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</si>
  <si>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</si>
  <si>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</si>
  <si>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</si>
  <si>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</si>
  <si>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</si>
  <si>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</si>
  <si>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</si>
  <si>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</si>
  <si>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</si>
  <si>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</si>
  <si>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</si>
  <si>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</si>
  <si>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</si>
  <si>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</si>
  <si>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</si>
  <si>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</si>
  <si>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</si>
  <si>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</si>
  <si>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</si>
  <si>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</si>
  <si>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</si>
  <si>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</si>
  <si>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</si>
  <si>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</si>
  <si>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</si>
  <si>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</si>
  <si>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</si>
  <si>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</si>
  <si>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</si>
  <si>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</si>
  <si>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</si>
  <si>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</si>
  <si>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</si>
  <si>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</si>
  <si>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</si>
  <si>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</si>
  <si>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</si>
  <si>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</si>
  <si>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</si>
  <si>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</si>
  <si>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</si>
  <si>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</si>
  <si>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</si>
  <si>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</si>
  <si>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</si>
  <si>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</si>
  <si>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</si>
  <si>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</si>
  <si>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</si>
  <si>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</si>
  <si>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</si>
  <si>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</si>
  <si>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</si>
  <si>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</si>
  <si>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</si>
  <si>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</si>
  <si>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</si>
  <si>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</si>
  <si>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</si>
  <si>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</si>
  <si>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</si>
  <si>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</si>
  <si>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</si>
  <si>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</si>
  <si>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</si>
  <si>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</si>
  <si>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</si>
  <si>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</si>
  <si>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</si>
  <si>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</si>
  <si>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</si>
  <si>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</si>
  <si>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</si>
  <si>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</si>
  <si>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</si>
  <si>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</si>
  <si>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</si>
  <si>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</si>
  <si>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</si>
  <si>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</si>
  <si>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</si>
  <si>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</si>
  <si>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</si>
  <si>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</si>
  <si>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</si>
  <si>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</si>
  <si>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</si>
  <si>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</si>
  <si>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</si>
  <si>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</si>
  <si>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</si>
  <si>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</si>
  <si>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</si>
  <si>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</si>
  <si>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</si>
  <si>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</si>
  <si>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</si>
  <si>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</si>
  <si>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</si>
  <si>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</si>
  <si>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</si>
  <si>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</si>
  <si>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</si>
  <si>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</si>
  <si>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</si>
  <si>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</si>
  <si>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</si>
  <si>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</si>
  <si>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</si>
  <si>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</si>
  <si>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</si>
  <si>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</si>
  <si>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</si>
  <si>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</si>
  <si>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</si>
  <si>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</si>
  <si>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</si>
  <si>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</si>
  <si>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</si>
  <si>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</si>
  <si>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</si>
  <si>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</si>
  <si>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</si>
  <si>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</si>
  <si>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</si>
  <si>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</si>
  <si>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</si>
  <si>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</si>
  <si>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</si>
  <si>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</si>
  <si>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</si>
  <si>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</si>
  <si>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</si>
  <si>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</si>
  <si>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</si>
  <si>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</si>
  <si>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</si>
  <si>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</si>
  <si>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</si>
  <si>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</si>
  <si>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</si>
  <si>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</si>
  <si>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</si>
  <si>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</si>
  <si>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</si>
  <si>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</si>
  <si>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</si>
  <si>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</si>
  <si>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</si>
  <si>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</si>
  <si>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</si>
  <si>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</si>
  <si>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</si>
  <si>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</si>
  <si>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</si>
  <si>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</si>
  <si>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</si>
  <si>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</si>
  <si>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</si>
  <si>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</si>
  <si>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</si>
  <si>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</si>
  <si>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</si>
  <si>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</si>
  <si>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</si>
  <si>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</si>
  <si>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</si>
  <si>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</si>
  <si>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</si>
  <si>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</si>
  <si>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</si>
  <si>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</si>
  <si>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</si>
  <si>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</si>
  <si>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</si>
  <si>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</si>
  <si>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</si>
  <si>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</si>
  <si>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</si>
  <si>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</si>
  <si>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</si>
  <si>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</si>
  <si>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</si>
  <si>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</si>
  <si>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</si>
  <si>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</si>
  <si>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</si>
  <si>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</si>
  <si>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</si>
  <si>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</si>
  <si>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</si>
  <si>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</si>
  <si>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</si>
  <si>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</si>
  <si>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</si>
  <si>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</si>
  <si>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</si>
  <si>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</si>
  <si>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</si>
  <si>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</si>
  <si>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</si>
  <si>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</si>
  <si>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</si>
  <si>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</si>
  <si>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</si>
  <si>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</si>
  <si>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</si>
  <si>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</si>
  <si>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</si>
  <si>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</si>
  <si>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</si>
  <si>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</si>
  <si>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</si>
  <si>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</si>
  <si>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</si>
  <si>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</si>
  <si>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</si>
  <si>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</si>
  <si>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</si>
  <si>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</si>
  <si>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</si>
  <si>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</si>
  <si>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</si>
  <si>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</si>
  <si>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</si>
  <si>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</si>
  <si>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</si>
  <si>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</si>
  <si>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</si>
  <si>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</si>
  <si>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</si>
  <si>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</si>
  <si>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</si>
  <si>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</si>
  <si>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</si>
  <si>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</si>
  <si>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</si>
  <si>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</si>
  <si>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</si>
  <si>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</si>
  <si>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</si>
  <si>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</si>
  <si>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</si>
  <si>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</si>
  <si>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</si>
  <si>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</si>
  <si>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</si>
  <si>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</si>
  <si>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</si>
  <si>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</si>
  <si>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</si>
  <si>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</si>
  <si>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</si>
  <si>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</si>
  <si>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</si>
  <si>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</si>
  <si>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</si>
  <si>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</si>
  <si>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</si>
  <si>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</si>
  <si>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</si>
  <si>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</si>
  <si>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</si>
  <si>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</si>
  <si>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</si>
  <si>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</si>
  <si>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</si>
  <si>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</si>
  <si>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</si>
  <si>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</si>
  <si>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</si>
  <si>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</si>
  <si>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</si>
  <si>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</si>
  <si>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</si>
  <si>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</si>
  <si>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</si>
  <si>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</si>
  <si>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</si>
  <si>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</si>
  <si>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</si>
  <si>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</si>
  <si>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</si>
  <si>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</si>
  <si>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</si>
  <si>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</si>
  <si>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</si>
  <si>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</si>
  <si>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</si>
  <si>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</si>
  <si>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</si>
  <si>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</si>
  <si>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</si>
  <si>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</si>
  <si>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</si>
  <si>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</si>
  <si>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</si>
  <si>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</si>
  <si>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</si>
  <si>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</si>
  <si>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</si>
  <si>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</si>
  <si>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</si>
  <si>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</si>
  <si>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</si>
  <si>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</si>
  <si>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</si>
  <si>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</si>
  <si>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</si>
  <si>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</si>
  <si>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</si>
  <si>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</si>
  <si>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</si>
  <si>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</si>
  <si>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</si>
  <si>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</si>
  <si>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</si>
  <si>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</si>
  <si>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</si>
  <si>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</si>
  <si>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</si>
  <si>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</si>
  <si>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</si>
  <si>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</si>
  <si>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</si>
  <si>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</si>
  <si>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</si>
  <si>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</si>
  <si>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</si>
  <si>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</si>
  <si>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</si>
  <si>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</si>
  <si>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</si>
  <si>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</si>
  <si>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</si>
  <si>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</si>
  <si>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</si>
  <si>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</si>
  <si>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</si>
  <si>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</si>
  <si>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</si>
  <si>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</si>
  <si>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</si>
  <si>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</si>
  <si>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</si>
  <si>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</si>
  <si>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</si>
  <si>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</si>
  <si>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</si>
  <si>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</si>
  <si>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</si>
  <si>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</si>
  <si>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</si>
  <si>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</si>
  <si>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</si>
  <si>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</si>
  <si>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</si>
  <si>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</si>
  <si>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</si>
  <si>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</si>
  <si>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</si>
  <si>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</si>
  <si>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</si>
  <si>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</si>
  <si>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</si>
  <si>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</si>
  <si>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</si>
  <si>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</si>
  <si>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</si>
  <si>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</si>
  <si>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</si>
  <si>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</si>
  <si>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</si>
  <si>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</si>
  <si>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</si>
  <si>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</si>
  <si>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</si>
  <si>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</si>
  <si>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</si>
  <si>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</si>
  <si>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</si>
  <si>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</si>
  <si>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</si>
  <si>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</si>
  <si>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</si>
  <si>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</si>
  <si>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</si>
  <si>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</si>
  <si>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</si>
  <si>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</si>
  <si>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</si>
  <si>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</si>
  <si>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</si>
  <si>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</si>
  <si>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</si>
  <si>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</si>
  <si>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</si>
  <si>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</si>
  <si>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</si>
  <si>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</si>
  <si>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</si>
  <si>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</si>
  <si>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</si>
  <si>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</si>
  <si>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</si>
  <si>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</si>
  <si>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</si>
  <si>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</si>
  <si>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</si>
  <si>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</si>
  <si>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</si>
  <si>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</si>
  <si>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</si>
  <si>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</si>
  <si>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</si>
  <si>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</si>
  <si>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</si>
  <si>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</si>
  <si>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</si>
  <si>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</si>
  <si>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</si>
  <si>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</si>
  <si>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</si>
  <si>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</si>
  <si>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</si>
  <si>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</si>
  <si>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</si>
  <si>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</si>
  <si>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</si>
  <si>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</si>
  <si>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</si>
  <si>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</si>
  <si>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</si>
  <si>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</si>
  <si>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</si>
  <si>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</si>
  <si>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</si>
  <si>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</si>
  <si>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</si>
  <si>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</si>
  <si>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</si>
  <si>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</si>
  <si>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</si>
  <si>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</si>
  <si>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</si>
  <si>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</si>
  <si>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</si>
  <si>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</si>
  <si>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</si>
  <si>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</si>
  <si>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</si>
  <si>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</si>
  <si>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</si>
  <si>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</si>
  <si>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</si>
  <si>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</si>
  <si>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</si>
  <si>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</si>
  <si>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</si>
  <si>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</si>
  <si>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</si>
  <si>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</si>
  <si>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</si>
  <si>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</si>
  <si>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</si>
  <si>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</si>
  <si>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</si>
  <si>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</si>
  <si>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</si>
  <si>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</si>
  <si>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</si>
  <si>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</si>
  <si>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</si>
  <si>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</si>
  <si>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</si>
  <si>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</si>
  <si>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</si>
  <si>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</si>
  <si>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</si>
  <si>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</si>
  <si>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</si>
  <si>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</si>
  <si>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</si>
  <si>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</si>
  <si>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</si>
  <si>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</si>
  <si>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</si>
  <si>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</si>
  <si>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</si>
  <si>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</si>
  <si>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</si>
  <si>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</si>
  <si>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</si>
  <si>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</si>
  <si>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</si>
  <si>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</si>
  <si>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</si>
  <si>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</si>
  <si>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</si>
  <si>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</si>
  <si>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</si>
  <si>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</si>
  <si>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</si>
  <si>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</si>
  <si>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Bird Electronic</t>
  </si>
  <si>
    <t>Michael Simpson</t>
  </si>
  <si>
    <t>msimpson@birdrf.com</t>
  </si>
  <si>
    <t>440-519-2040</t>
  </si>
  <si>
    <t>Vice President of Operations</t>
  </si>
  <si>
    <t>CFSI</t>
  </si>
  <si>
    <t>PT Timah (Persero) Tbk Kundur</t>
  </si>
  <si>
    <t>Riau Islands</t>
  </si>
  <si>
    <t>PT Timah</t>
  </si>
  <si>
    <t>PT Timah (Persero) Tbk Mentok</t>
  </si>
  <si>
    <t>Bangka</t>
  </si>
  <si>
    <t>Penang</t>
  </si>
  <si>
    <t>UNITED STATES</t>
  </si>
  <si>
    <t>Ohio Precious Metals, LLC</t>
  </si>
  <si>
    <t>Elemetal Refining, LLC</t>
  </si>
  <si>
    <t>CID001322</t>
  </si>
  <si>
    <t>Jackson</t>
  </si>
  <si>
    <t>KEMET Blue Powder</t>
  </si>
  <si>
    <t>CID002568</t>
  </si>
  <si>
    <t>Mound House</t>
  </si>
  <si>
    <t>Bird format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</si>
</sst>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48" xfId="0" applyBorder="1" applyAlignment="1" applyProtection="1">
      <alignment horizontal="left" vertical="center"/>
      <protection locked="0"/>
    </xf>
    <xf numFmtId="0" fontId="0" fillId="0" borderId="48" xfId="0" applyBorder="1" applyAlignment="1" applyProtection="1">
      <alignment horizontal="left" vertical="center"/>
      <protection locked="0" hidden="1"/>
    </xf>
    <xf numFmtId="0" fontId="0" fillId="33" borderId="53" xfId="0" applyFill="1" applyBorder="1" applyAlignment="1" applyProtection="1">
      <alignment horizontal="left" vertical="center"/>
      <protection locked="0" hidden="1"/>
    </xf>
    <xf numFmtId="0" fontId="0" fillId="33" borderId="42" xfId="0" applyFill="1" applyBorder="1" applyAlignment="1" applyProtection="1">
      <alignment horizontal="left" vertical="center"/>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simpson@birdrf.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simpson@birdrf.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25"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6"/>
      <c r="B2" s="38" t="s">
        <v>870</v>
      </c>
      <c r="C2" s="36"/>
      <c r="D2" s="208"/>
      <c r="E2" s="3"/>
      <c r="F2" s="36"/>
      <c r="G2" s="34"/>
    </row>
    <row r="3" spans="1:7">
      <c r="A3" s="366"/>
      <c r="B3" s="5" t="s">
        <v>862</v>
      </c>
      <c r="C3" s="6"/>
      <c r="D3" s="209"/>
      <c r="E3" s="3"/>
      <c r="F3" s="6"/>
      <c r="G3" s="34"/>
    </row>
    <row r="4" spans="1:7" ht="15.75">
      <c r="A4" s="366"/>
      <c r="B4" s="41" t="s">
        <v>872</v>
      </c>
      <c r="C4" s="7"/>
      <c r="D4" s="210"/>
      <c r="E4" s="3"/>
      <c r="F4" s="7"/>
      <c r="G4" s="34"/>
    </row>
    <row r="5" spans="1:7">
      <c r="A5" s="366"/>
      <c r="B5" s="40" t="s">
        <v>1063</v>
      </c>
      <c r="C5" s="4"/>
      <c r="D5" s="211"/>
      <c r="E5" s="3"/>
      <c r="F5" s="4"/>
      <c r="G5" s="34"/>
    </row>
    <row r="6" spans="1:7">
      <c r="A6" s="366"/>
      <c r="B6" s="8"/>
      <c r="C6" s="8"/>
      <c r="D6" s="212"/>
      <c r="E6" s="8"/>
      <c r="F6" s="8"/>
      <c r="G6" s="34"/>
    </row>
    <row r="7" spans="1:7">
      <c r="A7" s="366"/>
      <c r="B7" s="8"/>
      <c r="C7" s="8"/>
      <c r="D7" s="212"/>
      <c r="E7" s="8"/>
      <c r="F7" s="8"/>
      <c r="G7" s="34"/>
    </row>
    <row r="8" spans="1:7">
      <c r="A8" s="366"/>
      <c r="B8" s="8"/>
      <c r="C8" s="8"/>
      <c r="D8" s="212"/>
      <c r="E8" s="8"/>
      <c r="F8" s="8"/>
      <c r="G8" s="34"/>
    </row>
    <row r="9" spans="1:7">
      <c r="A9" s="366"/>
      <c r="B9" s="369" t="s">
        <v>873</v>
      </c>
      <c r="C9" s="369"/>
      <c r="D9" s="369"/>
      <c r="E9" s="369"/>
      <c r="F9" s="369"/>
      <c r="G9" s="34"/>
    </row>
    <row r="10" spans="1:7" ht="27" customHeight="1">
      <c r="A10" s="366"/>
      <c r="B10" s="370" t="s">
        <v>448</v>
      </c>
      <c r="C10" s="370"/>
      <c r="D10" s="370"/>
      <c r="E10" s="370"/>
      <c r="F10" s="370"/>
      <c r="G10" s="34"/>
    </row>
    <row r="11" spans="1:7" ht="27" customHeight="1">
      <c r="A11" s="366"/>
      <c r="B11" s="371"/>
      <c r="C11" s="371"/>
      <c r="D11" s="371"/>
      <c r="E11" s="371"/>
      <c r="F11" s="371"/>
      <c r="G11" s="34"/>
    </row>
    <row r="12" spans="1:7">
      <c r="A12" s="366"/>
      <c r="B12" s="42" t="s">
        <v>871</v>
      </c>
      <c r="C12" s="43" t="s">
        <v>874</v>
      </c>
      <c r="D12" s="213" t="s">
        <v>875</v>
      </c>
      <c r="E12" s="43" t="s">
        <v>628</v>
      </c>
      <c r="F12" s="43" t="s">
        <v>629</v>
      </c>
      <c r="G12" s="34"/>
    </row>
    <row r="13" spans="1:7" ht="33.75">
      <c r="A13" s="366"/>
      <c r="B13" s="2">
        <v>1</v>
      </c>
      <c r="C13" s="37" t="s">
        <v>1111</v>
      </c>
      <c r="D13" s="39" t="s">
        <v>899</v>
      </c>
      <c r="E13" s="196" t="s">
        <v>876</v>
      </c>
      <c r="F13" s="196"/>
      <c r="G13" s="34"/>
    </row>
    <row r="14" spans="1:7" ht="33.75">
      <c r="A14" s="366"/>
      <c r="B14" s="2">
        <v>2</v>
      </c>
      <c r="C14" s="37" t="s">
        <v>1111</v>
      </c>
      <c r="D14" s="39" t="s">
        <v>1048</v>
      </c>
      <c r="E14" s="196" t="s">
        <v>540</v>
      </c>
      <c r="F14" s="196" t="s">
        <v>541</v>
      </c>
      <c r="G14" s="34"/>
    </row>
    <row r="15" spans="1:7" ht="89.1" customHeight="1">
      <c r="A15" s="366"/>
      <c r="B15" s="351">
        <v>2.0099999999999998</v>
      </c>
      <c r="C15" s="363" t="s">
        <v>1111</v>
      </c>
      <c r="D15" s="372" t="s">
        <v>2358</v>
      </c>
      <c r="E15" s="197" t="s">
        <v>630</v>
      </c>
      <c r="F15" s="197" t="s">
        <v>633</v>
      </c>
      <c r="G15" s="34"/>
    </row>
    <row r="16" spans="1:7" ht="99" customHeight="1">
      <c r="A16" s="366"/>
      <c r="B16" s="352"/>
      <c r="C16" s="364"/>
      <c r="D16" s="373"/>
      <c r="E16" s="198"/>
      <c r="F16" s="198" t="s">
        <v>631</v>
      </c>
      <c r="G16" s="34"/>
    </row>
    <row r="17" spans="1:7" ht="63" customHeight="1">
      <c r="A17" s="366"/>
      <c r="B17" s="353"/>
      <c r="C17" s="365"/>
      <c r="D17" s="374"/>
      <c r="E17" s="37"/>
      <c r="F17" s="37" t="s">
        <v>632</v>
      </c>
      <c r="G17" s="34"/>
    </row>
    <row r="18" spans="1:7" ht="117" customHeight="1">
      <c r="A18" s="366"/>
      <c r="B18" s="351">
        <v>2.02</v>
      </c>
      <c r="C18" s="363" t="s">
        <v>1111</v>
      </c>
      <c r="D18" s="372" t="s">
        <v>2359</v>
      </c>
      <c r="E18" s="197" t="s">
        <v>449</v>
      </c>
      <c r="F18" s="197" t="s">
        <v>535</v>
      </c>
      <c r="G18" s="34"/>
    </row>
    <row r="19" spans="1:7" ht="71.099999999999994" customHeight="1">
      <c r="A19" s="366"/>
      <c r="B19" s="352"/>
      <c r="C19" s="364"/>
      <c r="D19" s="373"/>
      <c r="E19" s="198" t="s">
        <v>539</v>
      </c>
      <c r="F19" s="198" t="s">
        <v>450</v>
      </c>
      <c r="G19" s="34"/>
    </row>
    <row r="20" spans="1:7" ht="90.75" customHeight="1">
      <c r="A20" s="366"/>
      <c r="B20" s="352"/>
      <c r="C20" s="364"/>
      <c r="D20" s="373"/>
      <c r="E20" s="198"/>
      <c r="F20" s="198" t="s">
        <v>635</v>
      </c>
      <c r="G20" s="34"/>
    </row>
    <row r="21" spans="1:7" ht="74.25" customHeight="1">
      <c r="A21" s="366"/>
      <c r="B21" s="353"/>
      <c r="C21" s="365"/>
      <c r="D21" s="374"/>
      <c r="E21" s="37"/>
      <c r="F21" s="37" t="s">
        <v>634</v>
      </c>
      <c r="G21" s="34"/>
    </row>
    <row r="22" spans="1:7" ht="90" customHeight="1">
      <c r="A22" s="366"/>
      <c r="B22" s="357">
        <v>2.0299999999999998</v>
      </c>
      <c r="C22" s="357" t="s">
        <v>845</v>
      </c>
      <c r="D22" s="360" t="s">
        <v>2360</v>
      </c>
      <c r="E22" s="363" t="s">
        <v>447</v>
      </c>
      <c r="F22" s="197" t="s">
        <v>470</v>
      </c>
      <c r="G22" s="34"/>
    </row>
    <row r="23" spans="1:7" ht="109.5" customHeight="1">
      <c r="A23" s="366"/>
      <c r="B23" s="358"/>
      <c r="C23" s="358"/>
      <c r="D23" s="361"/>
      <c r="E23" s="364"/>
      <c r="F23" s="198" t="s">
        <v>846</v>
      </c>
      <c r="G23" s="34"/>
    </row>
    <row r="24" spans="1:7" ht="74.25" customHeight="1">
      <c r="A24" s="366"/>
      <c r="B24" s="359"/>
      <c r="C24" s="359"/>
      <c r="D24" s="362"/>
      <c r="E24" s="365"/>
      <c r="F24" s="37" t="s">
        <v>446</v>
      </c>
      <c r="G24" s="34"/>
    </row>
    <row r="25" spans="1:7" ht="72" customHeight="1">
      <c r="A25" s="366"/>
      <c r="B25" s="2" t="s">
        <v>468</v>
      </c>
      <c r="C25" s="37" t="s">
        <v>469</v>
      </c>
      <c r="D25" s="39" t="s">
        <v>2361</v>
      </c>
      <c r="E25" s="37" t="s">
        <v>2356</v>
      </c>
      <c r="F25" s="37" t="s">
        <v>471</v>
      </c>
      <c r="G25" s="34"/>
    </row>
    <row r="26" spans="1:7" ht="98.1" customHeight="1">
      <c r="A26" s="366"/>
      <c r="B26" s="354">
        <v>3</v>
      </c>
      <c r="C26" s="351" t="s">
        <v>72</v>
      </c>
      <c r="D26" s="372" t="s">
        <v>2362</v>
      </c>
      <c r="E26" s="363" t="s">
        <v>0</v>
      </c>
      <c r="F26" s="197" t="s">
        <v>66</v>
      </c>
      <c r="G26" s="34"/>
    </row>
    <row r="27" spans="1:7" ht="90" customHeight="1">
      <c r="A27" s="366"/>
      <c r="B27" s="355"/>
      <c r="C27" s="352"/>
      <c r="D27" s="373"/>
      <c r="E27" s="364"/>
      <c r="F27" s="198" t="s">
        <v>61</v>
      </c>
      <c r="G27" s="34"/>
    </row>
    <row r="28" spans="1:7" ht="19.350000000000001" customHeight="1">
      <c r="A28" s="366"/>
      <c r="B28" s="355"/>
      <c r="C28" s="352"/>
      <c r="D28" s="373"/>
      <c r="E28" s="364"/>
      <c r="F28" s="198" t="s">
        <v>62</v>
      </c>
      <c r="G28" s="34"/>
    </row>
    <row r="29" spans="1:7" ht="74.45" customHeight="1">
      <c r="A29" s="366"/>
      <c r="B29" s="355"/>
      <c r="C29" s="352"/>
      <c r="D29" s="373"/>
      <c r="E29" s="364"/>
      <c r="F29" s="198" t="s">
        <v>63</v>
      </c>
      <c r="G29" s="34"/>
    </row>
    <row r="30" spans="1:7" ht="62.45" customHeight="1">
      <c r="A30" s="366"/>
      <c r="B30" s="355"/>
      <c r="C30" s="352"/>
      <c r="D30" s="373"/>
      <c r="E30" s="364"/>
      <c r="F30" s="198" t="s">
        <v>64</v>
      </c>
      <c r="G30" s="34"/>
    </row>
    <row r="31" spans="1:7" ht="81" customHeight="1">
      <c r="A31" s="366"/>
      <c r="B31" s="355"/>
      <c r="C31" s="352"/>
      <c r="D31" s="373"/>
      <c r="E31" s="364"/>
      <c r="F31" s="198" t="s">
        <v>65</v>
      </c>
      <c r="G31" s="34"/>
    </row>
    <row r="32" spans="1:7" ht="48.75" customHeight="1">
      <c r="A32" s="366"/>
      <c r="B32" s="355"/>
      <c r="C32" s="352"/>
      <c r="D32" s="373"/>
      <c r="E32" s="364"/>
      <c r="F32" s="198" t="s">
        <v>68</v>
      </c>
      <c r="G32" s="34"/>
    </row>
    <row r="33" spans="1:7" ht="98.45" customHeight="1">
      <c r="A33" s="366"/>
      <c r="B33" s="355"/>
      <c r="C33" s="352"/>
      <c r="D33" s="373"/>
      <c r="E33" s="364"/>
      <c r="F33" s="198" t="s">
        <v>67</v>
      </c>
      <c r="G33" s="34"/>
    </row>
    <row r="34" spans="1:7" ht="89.1" customHeight="1">
      <c r="A34" s="366"/>
      <c r="B34" s="355"/>
      <c r="C34" s="352"/>
      <c r="D34" s="373"/>
      <c r="E34" s="364"/>
      <c r="F34" s="198" t="s">
        <v>69</v>
      </c>
      <c r="G34" s="34"/>
    </row>
    <row r="35" spans="1:7" ht="29.1" customHeight="1">
      <c r="A35" s="366"/>
      <c r="B35" s="355"/>
      <c r="C35" s="352"/>
      <c r="D35" s="373"/>
      <c r="E35" s="364"/>
      <c r="F35" s="198" t="s">
        <v>70</v>
      </c>
      <c r="G35" s="34"/>
    </row>
    <row r="36" spans="1:7" ht="126.75">
      <c r="A36" s="366"/>
      <c r="B36" s="356"/>
      <c r="C36" s="353"/>
      <c r="D36" s="374"/>
      <c r="E36" s="365"/>
      <c r="F36" s="199" t="s">
        <v>71</v>
      </c>
      <c r="G36" s="34"/>
    </row>
    <row r="37" spans="1:7" ht="112.5">
      <c r="A37" s="366"/>
      <c r="B37" s="171">
        <v>3.01</v>
      </c>
      <c r="C37" s="172" t="s">
        <v>72</v>
      </c>
      <c r="D37" s="39" t="s">
        <v>2363</v>
      </c>
      <c r="E37" s="200" t="s">
        <v>1351</v>
      </c>
      <c r="F37" s="201" t="s">
        <v>1457</v>
      </c>
      <c r="G37" s="34"/>
    </row>
    <row r="38" spans="1:7" ht="101.25">
      <c r="A38" s="366"/>
      <c r="B38" s="171">
        <v>3.02</v>
      </c>
      <c r="C38" s="172" t="s">
        <v>1384</v>
      </c>
      <c r="D38" s="39" t="s">
        <v>2364</v>
      </c>
      <c r="E38" s="200" t="s">
        <v>1399</v>
      </c>
      <c r="F38" s="201" t="s">
        <v>1458</v>
      </c>
      <c r="G38" s="34"/>
    </row>
    <row r="39" spans="1:7" ht="101.25">
      <c r="A39" s="366"/>
      <c r="B39" s="182">
        <v>4</v>
      </c>
      <c r="C39" s="181" t="s">
        <v>1554</v>
      </c>
      <c r="D39" s="39" t="s">
        <v>2365</v>
      </c>
      <c r="E39" s="37" t="s">
        <v>2307</v>
      </c>
      <c r="F39" s="37" t="s">
        <v>1555</v>
      </c>
      <c r="G39" s="34"/>
    </row>
    <row r="40" spans="1:7" ht="56.25">
      <c r="A40" s="366"/>
      <c r="B40" s="171">
        <v>4.01</v>
      </c>
      <c r="C40" s="181" t="s">
        <v>1554</v>
      </c>
      <c r="D40" s="39" t="s">
        <v>2367</v>
      </c>
      <c r="E40" s="37" t="s">
        <v>2321</v>
      </c>
      <c r="F40" s="37" t="s">
        <v>2326</v>
      </c>
      <c r="G40" s="34"/>
    </row>
    <row r="41" spans="1:7" ht="56.25">
      <c r="A41" s="366"/>
      <c r="B41" s="171" t="s">
        <v>2354</v>
      </c>
      <c r="C41" s="181" t="s">
        <v>1554</v>
      </c>
      <c r="D41" s="39" t="s">
        <v>2366</v>
      </c>
      <c r="E41" s="37" t="s">
        <v>2357</v>
      </c>
      <c r="F41" s="37" t="s">
        <v>2355</v>
      </c>
      <c r="G41" s="34"/>
    </row>
    <row r="42" spans="1:7" ht="56.25">
      <c r="A42" s="366"/>
      <c r="B42" s="171" t="s">
        <v>2399</v>
      </c>
      <c r="C42" s="181" t="s">
        <v>1554</v>
      </c>
      <c r="D42" s="39" t="s">
        <v>2406</v>
      </c>
      <c r="E42" s="37" t="s">
        <v>2356</v>
      </c>
      <c r="F42" s="37" t="s">
        <v>2400</v>
      </c>
      <c r="G42" s="34"/>
    </row>
    <row r="43" spans="1:7" ht="123.75">
      <c r="A43" s="366"/>
      <c r="B43" s="193">
        <v>4.0999999999999996</v>
      </c>
      <c r="C43" s="181" t="s">
        <v>2405</v>
      </c>
      <c r="D43" s="194">
        <v>42867</v>
      </c>
      <c r="E43" s="202" t="s">
        <v>2408</v>
      </c>
      <c r="F43" s="37" t="s">
        <v>2407</v>
      </c>
      <c r="G43" s="34"/>
    </row>
    <row r="44" spans="1:7" ht="78.75">
      <c r="A44" s="366"/>
      <c r="B44" s="193">
        <v>4.2</v>
      </c>
      <c r="C44" s="181" t="s">
        <v>2405</v>
      </c>
      <c r="D44" s="194">
        <v>42704</v>
      </c>
      <c r="E44" s="202" t="s">
        <v>2625</v>
      </c>
      <c r="F44" s="37" t="s">
        <v>2598</v>
      </c>
      <c r="G44" s="34"/>
    </row>
    <row r="45" spans="1:7" ht="157.5">
      <c r="A45" s="366"/>
      <c r="B45" s="243">
        <v>5</v>
      </c>
      <c r="C45" s="181" t="s">
        <v>2405</v>
      </c>
      <c r="D45" s="194">
        <v>42867</v>
      </c>
      <c r="E45" s="202" t="s">
        <v>13032</v>
      </c>
      <c r="F45" s="37" t="s">
        <v>12754</v>
      </c>
      <c r="G45" s="34"/>
    </row>
    <row r="46" spans="1:7" ht="45">
      <c r="A46" s="366"/>
      <c r="B46" s="193">
        <v>5.01</v>
      </c>
      <c r="C46" s="181" t="s">
        <v>2405</v>
      </c>
      <c r="D46" s="194">
        <v>42907</v>
      </c>
      <c r="E46" s="202" t="s">
        <v>13052</v>
      </c>
      <c r="F46" s="37" t="s">
        <v>12754</v>
      </c>
      <c r="G46" s="34"/>
    </row>
    <row r="47" spans="1:7" ht="67.5">
      <c r="A47" s="366"/>
      <c r="B47" s="193">
        <v>5.0999999999999996</v>
      </c>
      <c r="C47" s="181" t="s">
        <v>2405</v>
      </c>
      <c r="D47" s="194">
        <v>43070</v>
      </c>
      <c r="E47" s="202" t="s">
        <v>13247</v>
      </c>
      <c r="F47" s="37" t="s">
        <v>13248</v>
      </c>
      <c r="G47" s="34"/>
    </row>
    <row r="48" spans="1:7" ht="56.25">
      <c r="A48" s="366"/>
      <c r="B48" s="193">
        <v>5.1100000000000003</v>
      </c>
      <c r="C48" s="181" t="s">
        <v>13489</v>
      </c>
      <c r="D48" s="194">
        <v>43217</v>
      </c>
      <c r="E48" s="202" t="s">
        <v>13617</v>
      </c>
      <c r="F48" s="37" t="s">
        <v>13523</v>
      </c>
      <c r="G48" s="34"/>
    </row>
    <row r="49" spans="1:7" ht="56.25">
      <c r="A49" s="366"/>
      <c r="B49" s="193">
        <v>5.12</v>
      </c>
      <c r="C49" s="181" t="s">
        <v>13489</v>
      </c>
      <c r="D49" s="194">
        <v>43581</v>
      </c>
      <c r="E49" s="202" t="s">
        <v>13617</v>
      </c>
      <c r="F49" s="37" t="s">
        <v>14191</v>
      </c>
      <c r="G49" s="34"/>
    </row>
    <row r="50" spans="1:7" ht="78.75">
      <c r="A50" s="366"/>
      <c r="B50" s="243">
        <v>6</v>
      </c>
      <c r="C50" s="181" t="s">
        <v>13489</v>
      </c>
      <c r="D50" s="194">
        <v>43964</v>
      </c>
      <c r="E50" s="202" t="s">
        <v>14433</v>
      </c>
      <c r="F50" s="37" t="s">
        <v>14204</v>
      </c>
      <c r="G50" s="34"/>
    </row>
    <row r="51" spans="1:7" ht="45">
      <c r="A51" s="366"/>
      <c r="B51" s="193">
        <v>6.01</v>
      </c>
      <c r="C51" s="181" t="s">
        <v>13489</v>
      </c>
      <c r="D51" s="194">
        <v>43970</v>
      </c>
      <c r="E51" s="202" t="s">
        <v>15503</v>
      </c>
      <c r="F51" s="202" t="s">
        <v>14204</v>
      </c>
      <c r="G51" s="34"/>
    </row>
    <row r="52" spans="1:7" ht="13.5" thickBot="1">
      <c r="A52" s="367"/>
      <c r="B52" s="368" t="str">
        <f ca="1">OFFSET(L!$C$1,MATCH("General"&amp;"Cpy",L!$A:$A,0)-1,SL,,)</f>
        <v>© 2020 Responsible Minerals Initiative. All rights reserved.</v>
      </c>
      <c r="C52" s="368"/>
      <c r="D52" s="368"/>
      <c r="E52" s="368"/>
      <c r="F52" s="368"/>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5"/>
      <c r="B1" s="376"/>
      <c r="C1" s="376"/>
      <c r="D1" s="377"/>
    </row>
    <row r="2" spans="1:5" ht="71.25" customHeight="1">
      <c r="A2" s="87"/>
      <c r="B2" s="167" t="str">
        <f ca="1">OFFSET(L!$C$1,MATCH("Definitions"&amp;ADDRESS(ROW(),COLUMN(),4),L!$A:$A,0)-1,SL,,)</f>
        <v>ITEM</v>
      </c>
      <c r="C2" s="167" t="str">
        <f ca="1">OFFSET(L!$C$1,MATCH("Definitions"&amp;ADDRESS(ROW(),COLUMN(),4),L!$A:$A,0)-1,SL,,)</f>
        <v>DEFINITION</v>
      </c>
      <c r="D2" s="379"/>
      <c r="E2" s="127"/>
    </row>
    <row r="3" spans="1:5" ht="63.95" customHeight="1">
      <c r="A3" s="87"/>
      <c r="B3" s="74" t="str">
        <f ca="1">OFFSET(L!$C$1,MATCH("Definitions"&amp;ADDRESS(ROW(),COLUMN(),4),L!$A:$A,0)-1,SL,,)</f>
        <v>3TG</v>
      </c>
      <c r="C3" s="74" t="str">
        <f ca="1">OFFSET(L!$C$1,MATCH("Definitions"&amp;ADDRESS(ROW(),COLUMN(),4),L!$A:$A,0)-1,SL,,)</f>
        <v>Tantalum, tin, tungsten, gold</v>
      </c>
      <c r="D3" s="379"/>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9"/>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9"/>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9"/>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9"/>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9"/>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9"/>
      <c r="E9" s="128" t="s">
        <v>1336</v>
      </c>
    </row>
    <row r="10" spans="1:5" ht="45">
      <c r="A10" s="87"/>
      <c r="B10" s="74" t="str">
        <f ca="1">OFFSET(L!$C$1,MATCH("Definitions"&amp;ADDRESS(ROW(),COLUMN(),4),L!$A:$A,0)-1,SL,,)</f>
        <v>DRC</v>
      </c>
      <c r="C10" s="74" t="str">
        <f ca="1">OFFSET(L!$C$1,MATCH("Definitions"&amp;ADDRESS(ROW(),COLUMN(),4),L!$A:$A,0)-1,SL,,)</f>
        <v>Democratic Republic of Congo</v>
      </c>
      <c r="D10" s="379"/>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9"/>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9"/>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9"/>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9"/>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9"/>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9"/>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9"/>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9"/>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9"/>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9"/>
      <c r="E20" s="128"/>
    </row>
    <row r="21" spans="1:5" ht="15">
      <c r="A21" s="87"/>
      <c r="B21" s="74" t="str">
        <f ca="1">OFFSET(L!$C$1,MATCH("Definitions"&amp;ADDRESS(ROW(),COLUMN(),4),L!$A:$A,0)-1,SL,,)</f>
        <v>RBA</v>
      </c>
      <c r="C21" s="74" t="str">
        <f ca="1">OFFSET(L!$C$1,MATCH("Definitions"&amp;ADDRESS(ROW(),COLUMN(),4),L!$A:$A,0)-1,SL,,)</f>
        <v>Responsible Business Alliance (www.responsiblebusiness.org)</v>
      </c>
      <c r="D21" s="379"/>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9"/>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9"/>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9"/>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9"/>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9"/>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9"/>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9"/>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9"/>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9"/>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9"/>
      <c r="E31" s="128"/>
    </row>
    <row r="32" spans="1:5" ht="15">
      <c r="A32" s="87"/>
      <c r="B32" s="378" t="str">
        <f ca="1">OFFSET(L!$C$1,MATCH("General"&amp;"Cpy",L!$A:$A,0)-1,SL,,)</f>
        <v>© 2020 Responsible Minerals Initiative. All rights reserved.</v>
      </c>
      <c r="C32" s="378"/>
      <c r="D32" s="379"/>
      <c r="E32" s="128"/>
    </row>
    <row r="33" spans="1:4" ht="13.5" thickBot="1">
      <c r="A33" s="88"/>
      <c r="B33" s="185"/>
      <c r="C33" s="185"/>
      <c r="D33" s="380"/>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F3" sqref="F3:H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2"/>
      <c r="B1" s="413"/>
      <c r="C1" s="413"/>
      <c r="D1" s="413"/>
      <c r="E1" s="413"/>
      <c r="F1" s="413"/>
      <c r="G1" s="413"/>
      <c r="H1" s="413"/>
      <c r="I1" s="413"/>
      <c r="J1" s="413"/>
      <c r="K1" s="41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5" t="str">
        <f ca="1">OFFSET(L!$C$1,MATCH("Declaration"&amp;ADDRESS(ROW(),COLUMN(),4),L!$A:$A,0)-1,SL,,)</f>
        <v>Conflict Minerals Reporting Template (CMRT)</v>
      </c>
      <c r="E2" s="416"/>
      <c r="F2" s="416"/>
      <c r="G2" s="416"/>
      <c r="H2" s="416"/>
      <c r="I2" s="416"/>
      <c r="J2" s="41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5"/>
      <c r="G3" s="425"/>
      <c r="H3" s="425"/>
      <c r="I3" s="184"/>
      <c r="J3" s="168" t="s">
        <v>15505</v>
      </c>
      <c r="K3" s="47"/>
      <c r="L3" s="139"/>
      <c r="M3" s="130"/>
      <c r="N3" s="130"/>
      <c r="O3" s="131"/>
      <c r="P3" s="144">
        <f>MATCH($D$3,LN,0)</f>
        <v>1</v>
      </c>
    </row>
    <row r="4" spans="1:34" ht="15.75">
      <c r="A4" s="45"/>
      <c r="B4" s="421" t="str">
        <f ca="1">OFFSET(L!$C$1,MATCH("Declaration"&amp;ADDRESS(ROW(),COLUMN(),4),L!$A:$A,0)-1,SL,,)</f>
        <v>The purpose of this document is to collect sourcing information on tin, tantalum, tungsten and gold used in products</v>
      </c>
      <c r="C4" s="421"/>
      <c r="D4" s="421"/>
      <c r="E4" s="421"/>
      <c r="F4" s="421"/>
      <c r="G4" s="421"/>
      <c r="H4" s="421"/>
      <c r="I4" s="426" t="str">
        <f ca="1">OFFSET(L!$C$1,MATCH("Declaration"&amp;ADDRESS(ROW(),COLUMN(),4),L!$A:$A,0)-1,SL,,)</f>
        <v>Link to Terms &amp; Conditions</v>
      </c>
      <c r="J4" s="42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0" t="str">
        <f ca="1">OFFSET(L!$C$1,MATCH("Declaration"&amp;ADDRESS(ROW(),COLUMN(),4),L!$A:$A,0)-1,SL,,)</f>
        <v>Company Information</v>
      </c>
      <c r="C7" s="430"/>
      <c r="D7" s="430"/>
      <c r="E7" s="430"/>
      <c r="F7" s="430"/>
      <c r="G7" s="430"/>
      <c r="H7" s="430"/>
      <c r="I7" s="430"/>
      <c r="J7" s="430"/>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8" t="s">
        <v>15506</v>
      </c>
      <c r="E8" s="419"/>
      <c r="F8" s="419"/>
      <c r="G8" s="419"/>
      <c r="H8" s="419"/>
      <c r="I8" s="419"/>
      <c r="J8" s="420"/>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7" t="s">
        <v>504</v>
      </c>
      <c r="E9" s="428"/>
      <c r="F9" s="428"/>
      <c r="G9" s="429"/>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1" t="str">
        <f ca="1">OFFSET(L!$C$1,MATCH("Declaration"&amp;ADDRESS(ROW(),COLUMN(),4)&amp;LEFT($D$9,1),L!$A:$A,0)-1,SL,,)</f>
        <v>Description of Scope:</v>
      </c>
      <c r="C10" s="151"/>
      <c r="D10" s="422"/>
      <c r="E10" s="423"/>
      <c r="F10" s="423"/>
      <c r="G10" s="423"/>
      <c r="H10" s="423"/>
      <c r="I10" s="423"/>
      <c r="J10" s="42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2"/>
      <c r="C11" s="151"/>
      <c r="D11" s="396" t="str">
        <f ca="1">IF(D9=Q9,OFFSET(L!$C$1,MATCH("Declaration"&amp;ADDRESS(ROW(),COLUMN(),4),L!$A:$A,0)-1,SL,,),"")</f>
        <v/>
      </c>
      <c r="E11" s="397"/>
      <c r="F11" s="397"/>
      <c r="G11" s="397"/>
      <c r="H11" s="397"/>
      <c r="I11" s="397"/>
      <c r="J11" s="39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5"/>
      <c r="E12" s="406"/>
      <c r="F12" s="406"/>
      <c r="G12" s="406"/>
      <c r="H12" s="406"/>
      <c r="I12" s="406"/>
      <c r="J12" s="40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5"/>
      <c r="E13" s="406"/>
      <c r="F13" s="406"/>
      <c r="G13" s="406"/>
      <c r="H13" s="406"/>
      <c r="I13" s="406"/>
      <c r="J13" s="40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5"/>
      <c r="E14" s="406"/>
      <c r="F14" s="406"/>
      <c r="G14" s="406"/>
      <c r="H14" s="406"/>
      <c r="I14" s="406"/>
      <c r="J14" s="40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5" t="s">
        <v>15507</v>
      </c>
      <c r="E15" s="406"/>
      <c r="F15" s="406"/>
      <c r="G15" s="406"/>
      <c r="H15" s="406"/>
      <c r="I15" s="406"/>
      <c r="J15" s="40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3" t="s">
        <v>15508</v>
      </c>
      <c r="E16" s="434"/>
      <c r="F16" s="434"/>
      <c r="G16" s="434"/>
      <c r="H16" s="434"/>
      <c r="I16" s="434"/>
      <c r="J16" s="43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5" t="s">
        <v>15509</v>
      </c>
      <c r="E17" s="406"/>
      <c r="F17" s="406"/>
      <c r="G17" s="406"/>
      <c r="H17" s="406"/>
      <c r="I17" s="406"/>
      <c r="J17" s="40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5" t="s">
        <v>15507</v>
      </c>
      <c r="E18" s="406"/>
      <c r="F18" s="406"/>
      <c r="G18" s="406"/>
      <c r="H18" s="406"/>
      <c r="I18" s="406"/>
      <c r="J18" s="40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5" t="s">
        <v>15510</v>
      </c>
      <c r="E19" s="406"/>
      <c r="F19" s="406"/>
      <c r="G19" s="406"/>
      <c r="H19" s="406"/>
      <c r="I19" s="406"/>
      <c r="J19" s="40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3" t="s">
        <v>15508</v>
      </c>
      <c r="E20" s="434"/>
      <c r="F20" s="434"/>
      <c r="G20" s="434"/>
      <c r="H20" s="434"/>
      <c r="I20" s="434"/>
      <c r="J20" s="43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6"/>
      <c r="E21" s="437"/>
      <c r="F21" s="437"/>
      <c r="G21" s="437"/>
      <c r="H21" s="437"/>
      <c r="I21" s="437"/>
      <c r="J21" s="43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9">
        <v>44095</v>
      </c>
      <c r="E22" s="44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8"/>
      <c r="E23" s="40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1" t="str">
        <f ca="1">OFFSET(L!$C$1,MATCH("Declaration"&amp;ADDRESS(ROW(),COLUMN(),4),L!$A:$A,0)-1,SL,,)</f>
        <v>Answer the following questions 1 - 8 based on the declaration scope indicated above</v>
      </c>
      <c r="C24" s="441"/>
      <c r="D24" s="441"/>
      <c r="E24" s="441"/>
      <c r="F24" s="441"/>
      <c r="G24" s="441"/>
      <c r="H24" s="441"/>
      <c r="I24" s="441"/>
      <c r="J24" s="44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1" t="s">
        <v>498</v>
      </c>
      <c r="E26" s="382"/>
      <c r="F26" s="15"/>
      <c r="G26" s="383"/>
      <c r="H26" s="384"/>
      <c r="I26" s="384"/>
      <c r="J26" s="385"/>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1" t="s">
        <v>498</v>
      </c>
      <c r="E27" s="382"/>
      <c r="F27" s="15"/>
      <c r="G27" s="383"/>
      <c r="H27" s="384"/>
      <c r="I27" s="384"/>
      <c r="J27" s="38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1" t="s">
        <v>498</v>
      </c>
      <c r="E28" s="382"/>
      <c r="F28" s="15"/>
      <c r="G28" s="383"/>
      <c r="H28" s="384"/>
      <c r="I28" s="384"/>
      <c r="J28" s="385"/>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1" t="s">
        <v>499</v>
      </c>
      <c r="E29" s="382"/>
      <c r="F29" s="15"/>
      <c r="G29" s="383"/>
      <c r="H29" s="384"/>
      <c r="I29" s="384"/>
      <c r="J29" s="385"/>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1" t="str">
        <f ca="1">D25</f>
        <v>Answer</v>
      </c>
      <c r="E31" s="401"/>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9" t="s">
        <v>498</v>
      </c>
      <c r="E32" s="400"/>
      <c r="F32" s="58"/>
      <c r="G32" s="383"/>
      <c r="H32" s="384"/>
      <c r="I32" s="384"/>
      <c r="J32" s="38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1" t="s">
        <v>498</v>
      </c>
      <c r="E33" s="382"/>
      <c r="F33" s="58"/>
      <c r="G33" s="383"/>
      <c r="H33" s="384"/>
      <c r="I33" s="384"/>
      <c r="J33" s="38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1" t="s">
        <v>498</v>
      </c>
      <c r="E34" s="382"/>
      <c r="F34" s="58"/>
      <c r="G34" s="383"/>
      <c r="H34" s="384"/>
      <c r="I34" s="384"/>
      <c r="J34" s="38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1"/>
      <c r="E35" s="382"/>
      <c r="F35" s="58"/>
      <c r="G35" s="383"/>
      <c r="H35" s="384"/>
      <c r="I35" s="384"/>
      <c r="J35" s="38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1" t="str">
        <f ca="1">D25</f>
        <v>Answer</v>
      </c>
      <c r="E37" s="401"/>
      <c r="F37" s="21"/>
      <c r="G37" s="55" t="str">
        <f ca="1">G25</f>
        <v>Comments</v>
      </c>
      <c r="H37" s="404"/>
      <c r="I37" s="404"/>
      <c r="J37" s="404"/>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1" t="s">
        <v>499</v>
      </c>
      <c r="E38" s="382"/>
      <c r="F38" s="58"/>
      <c r="G38" s="383"/>
      <c r="H38" s="384"/>
      <c r="I38" s="384"/>
      <c r="J38" s="385"/>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1" t="s">
        <v>499</v>
      </c>
      <c r="E39" s="382"/>
      <c r="F39" s="58"/>
      <c r="G39" s="383"/>
      <c r="H39" s="384"/>
      <c r="I39" s="384"/>
      <c r="J39" s="385"/>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1" t="s">
        <v>499</v>
      </c>
      <c r="E40" s="382"/>
      <c r="F40" s="58"/>
      <c r="G40" s="383"/>
      <c r="H40" s="384"/>
      <c r="I40" s="384"/>
      <c r="J40" s="385"/>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1"/>
      <c r="E41" s="382"/>
      <c r="F41" s="58"/>
      <c r="G41" s="383"/>
      <c r="H41" s="384"/>
      <c r="I41" s="384"/>
      <c r="J41" s="385"/>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1" t="str">
        <f ca="1">D25</f>
        <v>Answer</v>
      </c>
      <c r="E43" s="401"/>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1" t="s">
        <v>499</v>
      </c>
      <c r="E44" s="382"/>
      <c r="F44" s="58"/>
      <c r="G44" s="383"/>
      <c r="H44" s="384"/>
      <c r="I44" s="384"/>
      <c r="J44" s="385"/>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1" t="s">
        <v>499</v>
      </c>
      <c r="E45" s="382"/>
      <c r="F45" s="58"/>
      <c r="G45" s="383"/>
      <c r="H45" s="384"/>
      <c r="I45" s="384"/>
      <c r="J45" s="385"/>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1" t="s">
        <v>499</v>
      </c>
      <c r="E46" s="382"/>
      <c r="F46" s="58"/>
      <c r="G46" s="383"/>
      <c r="H46" s="384"/>
      <c r="I46" s="384"/>
      <c r="J46" s="385"/>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1"/>
      <c r="E47" s="382"/>
      <c r="F47" s="58"/>
      <c r="G47" s="383"/>
      <c r="H47" s="384"/>
      <c r="I47" s="384"/>
      <c r="J47" s="385"/>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1" t="str">
        <f ca="1">D25</f>
        <v>Answer</v>
      </c>
      <c r="E49" s="401"/>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1" t="s">
        <v>499</v>
      </c>
      <c r="E50" s="382"/>
      <c r="F50" s="58"/>
      <c r="G50" s="383"/>
      <c r="H50" s="384"/>
      <c r="I50" s="384"/>
      <c r="J50" s="38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1" t="s">
        <v>499</v>
      </c>
      <c r="E51" s="382"/>
      <c r="F51" s="58"/>
      <c r="G51" s="383"/>
      <c r="H51" s="384"/>
      <c r="I51" s="384"/>
      <c r="J51" s="38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1" t="s">
        <v>499</v>
      </c>
      <c r="E52" s="382"/>
      <c r="F52" s="58"/>
      <c r="G52" s="383"/>
      <c r="H52" s="384"/>
      <c r="I52" s="384"/>
      <c r="J52" s="38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1"/>
      <c r="E53" s="382"/>
      <c r="F53" s="58"/>
      <c r="G53" s="383"/>
      <c r="H53" s="384"/>
      <c r="I53" s="384"/>
      <c r="J53" s="38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1" t="str">
        <f ca="1">D25</f>
        <v>Answer</v>
      </c>
      <c r="E55" s="401"/>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2">
        <v>1</v>
      </c>
      <c r="E56" s="403"/>
      <c r="F56" s="58"/>
      <c r="G56" s="383"/>
      <c r="H56" s="384"/>
      <c r="I56" s="384"/>
      <c r="J56" s="38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2">
        <v>1</v>
      </c>
      <c r="E57" s="403"/>
      <c r="F57" s="58"/>
      <c r="G57" s="383"/>
      <c r="H57" s="384"/>
      <c r="I57" s="384"/>
      <c r="J57" s="38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2">
        <v>1</v>
      </c>
      <c r="E58" s="403"/>
      <c r="F58" s="58"/>
      <c r="G58" s="383"/>
      <c r="H58" s="384"/>
      <c r="I58" s="384"/>
      <c r="J58" s="38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2"/>
      <c r="E59" s="403"/>
      <c r="F59" s="58"/>
      <c r="G59" s="383"/>
      <c r="H59" s="384"/>
      <c r="I59" s="384"/>
      <c r="J59" s="38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1" t="str">
        <f ca="1">D25</f>
        <v>Answer</v>
      </c>
      <c r="E61" s="401"/>
      <c r="F61" s="21"/>
      <c r="G61" s="55" t="str">
        <f ca="1">G25</f>
        <v>Comments</v>
      </c>
      <c r="H61" s="394"/>
      <c r="I61" s="394"/>
      <c r="J61" s="39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9" t="s">
        <v>498</v>
      </c>
      <c r="E62" s="400"/>
      <c r="F62" s="58"/>
      <c r="G62" s="383"/>
      <c r="H62" s="384"/>
      <c r="I62" s="384"/>
      <c r="J62" s="38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1" t="s">
        <v>498</v>
      </c>
      <c r="E63" s="382"/>
      <c r="F63" s="58"/>
      <c r="G63" s="383"/>
      <c r="H63" s="384"/>
      <c r="I63" s="384"/>
      <c r="J63" s="38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1" t="s">
        <v>498</v>
      </c>
      <c r="E64" s="382"/>
      <c r="F64" s="58"/>
      <c r="G64" s="383"/>
      <c r="H64" s="384"/>
      <c r="I64" s="384"/>
      <c r="J64" s="38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1"/>
      <c r="E65" s="382"/>
      <c r="F65" s="58"/>
      <c r="G65" s="383"/>
      <c r="H65" s="384"/>
      <c r="I65" s="384"/>
      <c r="J65" s="38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1" t="str">
        <f ca="1">D25</f>
        <v>Answer</v>
      </c>
      <c r="E67" s="401"/>
      <c r="F67" s="21"/>
      <c r="G67" s="55" t="str">
        <f ca="1">G25</f>
        <v>Comments</v>
      </c>
      <c r="H67" s="394" t="str">
        <f>IF(Q75="(*)","Click here to enter smelter names","")</f>
        <v/>
      </c>
      <c r="I67" s="394"/>
      <c r="J67" s="39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1" t="s">
        <v>498</v>
      </c>
      <c r="E68" s="382"/>
      <c r="F68" s="59"/>
      <c r="G68" s="383"/>
      <c r="H68" s="384"/>
      <c r="I68" s="384"/>
      <c r="J68" s="38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1" t="s">
        <v>498</v>
      </c>
      <c r="E69" s="382"/>
      <c r="F69" s="59"/>
      <c r="G69" s="383"/>
      <c r="H69" s="384"/>
      <c r="I69" s="384"/>
      <c r="J69" s="38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1" t="s">
        <v>498</v>
      </c>
      <c r="E70" s="382"/>
      <c r="F70" s="59"/>
      <c r="G70" s="383"/>
      <c r="H70" s="384"/>
      <c r="I70" s="384"/>
      <c r="J70" s="38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1"/>
      <c r="E71" s="382"/>
      <c r="F71" s="61"/>
      <c r="G71" s="383"/>
      <c r="H71" s="384"/>
      <c r="I71" s="384"/>
      <c r="J71" s="38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6" t="str">
        <f ca="1">OFFSET(L!$C$1,MATCH("Declaration"&amp;ADDRESS(ROW(),COLUMN(),4),L!$A:$A,0)-1,SL,,)</f>
        <v>Answer the Following Questions at a Company Level</v>
      </c>
      <c r="C73" s="386"/>
      <c r="D73" s="386"/>
      <c r="E73" s="386"/>
      <c r="F73" s="386"/>
      <c r="G73" s="386"/>
      <c r="H73" s="386"/>
      <c r="I73" s="386"/>
      <c r="J73" s="38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5" t="str">
        <f ca="1">D25</f>
        <v>Answer</v>
      </c>
      <c r="E74" s="395"/>
      <c r="F74" s="64"/>
      <c r="G74" s="395" t="str">
        <f ca="1">G25</f>
        <v>Comments</v>
      </c>
      <c r="H74" s="395" t="e">
        <f>HLOOKUP(SL,LT,$O74,0)</f>
        <v>#NAME?</v>
      </c>
      <c r="I74" s="39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1" t="s">
        <v>498</v>
      </c>
      <c r="E75" s="382"/>
      <c r="F75" s="68"/>
      <c r="G75" s="383"/>
      <c r="H75" s="384"/>
      <c r="I75" s="384"/>
      <c r="J75" s="385"/>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2"/>
      <c r="H76" s="392"/>
      <c r="I76" s="392"/>
      <c r="J76" s="392"/>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1" t="s">
        <v>499</v>
      </c>
      <c r="E77" s="382"/>
      <c r="F77" s="68"/>
      <c r="G77" s="409"/>
      <c r="H77" s="410"/>
      <c r="I77" s="410"/>
      <c r="J77" s="411"/>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1" t="s">
        <v>498</v>
      </c>
      <c r="E79" s="382"/>
      <c r="F79" s="68"/>
      <c r="G79" s="383"/>
      <c r="H79" s="384"/>
      <c r="I79" s="384"/>
      <c r="J79" s="385"/>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1" t="s">
        <v>498</v>
      </c>
      <c r="E81" s="382"/>
      <c r="F81" s="68"/>
      <c r="G81" s="383"/>
      <c r="H81" s="384"/>
      <c r="I81" s="384"/>
      <c r="J81" s="385"/>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1" t="s">
        <v>12721</v>
      </c>
      <c r="E83" s="382"/>
      <c r="F83" s="68"/>
      <c r="G83" s="383" t="s">
        <v>15526</v>
      </c>
      <c r="H83" s="384"/>
      <c r="I83" s="384"/>
      <c r="J83" s="385"/>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0" t="s">
        <v>498</v>
      </c>
      <c r="E85" s="391"/>
      <c r="F85" s="68"/>
      <c r="G85" s="383"/>
      <c r="H85" s="384"/>
      <c r="I85" s="384"/>
      <c r="J85" s="385"/>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2"/>
      <c r="H86" s="392"/>
      <c r="I86" s="392"/>
      <c r="J86" s="392"/>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1" t="s">
        <v>498</v>
      </c>
      <c r="E87" s="382"/>
      <c r="F87" s="68"/>
      <c r="G87" s="383"/>
      <c r="H87" s="384"/>
      <c r="I87" s="384"/>
      <c r="J87" s="385"/>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3"/>
      <c r="H88" s="393"/>
      <c r="I88" s="393"/>
      <c r="J88" s="39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1" t="s">
        <v>499</v>
      </c>
      <c r="E89" s="382"/>
      <c r="F89" s="68"/>
      <c r="G89" s="383"/>
      <c r="H89" s="384"/>
      <c r="I89" s="384"/>
      <c r="J89" s="385"/>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9" t="str">
        <f>IF(OR($D$8="",$I$3=""),"","Click here to check required fields completion")</f>
        <v/>
      </c>
      <c r="C90" s="389"/>
      <c r="D90" s="389"/>
      <c r="E90" s="389"/>
      <c r="F90" s="389"/>
      <c r="G90" s="389"/>
      <c r="H90" s="389"/>
      <c r="I90" s="389"/>
      <c r="J90" s="38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7" t="str">
        <f ca="1">OFFSET(L!$C$1,MATCH("General"&amp;"Cpy",L!$A:$A,0)-1,SL,,)</f>
        <v>© 2020 Responsible Minerals Initiative. All rights reserved.</v>
      </c>
      <c r="B91" s="388"/>
      <c r="C91" s="388"/>
      <c r="D91" s="388"/>
      <c r="E91" s="388"/>
      <c r="F91" s="388"/>
      <c r="G91" s="388"/>
      <c r="H91" s="388"/>
      <c r="I91" s="388"/>
      <c r="J91" s="38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34" priority="63" stopIfTrue="1">
      <formula>AND(OR($D$26="No",AND($D$26="Yes",$D$32="No")),OR($D$27="No",AND($D$27="Yes",$D$33="No")),OR($D$28="No",AND($D$28="Yes",$D$34="No")),OR($D$29="No",AND($D$29="Yes",$D$35="No")))</formula>
    </cfRule>
    <cfRule type="expression" dxfId="133" priority="64" stopIfTrue="1">
      <formula>IF(D75="",TRUE)</formula>
    </cfRule>
  </conditionalFormatting>
  <conditionalFormatting sqref="G77:J77">
    <cfRule type="expression" dxfId="132" priority="35" stopIfTrue="1">
      <formula>IF(AND($D$77="Yes",$G$77=""),TRUE)</formula>
    </cfRule>
  </conditionalFormatting>
  <conditionalFormatting sqref="D26:E26">
    <cfRule type="expression" dxfId="131" priority="115" stopIfTrue="1">
      <formula>IF($D$26="",TRUE)</formula>
    </cfRule>
  </conditionalFormatting>
  <conditionalFormatting sqref="D27:E27">
    <cfRule type="expression" dxfId="130" priority="122" stopIfTrue="1">
      <formula>IF($D$27="",TRUE)</formula>
    </cfRule>
  </conditionalFormatting>
  <conditionalFormatting sqref="D28:E28">
    <cfRule type="expression" dxfId="129" priority="123" stopIfTrue="1">
      <formula>IF($D$28="",TRUE)</formula>
    </cfRule>
  </conditionalFormatting>
  <conditionalFormatting sqref="D29:E29">
    <cfRule type="expression" dxfId="128" priority="124" stopIfTrue="1">
      <formula>IF($D$29="",TRUE)</formula>
    </cfRule>
  </conditionalFormatting>
  <conditionalFormatting sqref="D8:J8">
    <cfRule type="expression" dxfId="127" priority="129" stopIfTrue="1">
      <formula>IF($D$8="",TRUE)</formula>
    </cfRule>
  </conditionalFormatting>
  <conditionalFormatting sqref="D9:G9">
    <cfRule type="expression" dxfId="126" priority="130" stopIfTrue="1">
      <formula>IF($D$9="",TRUE)</formula>
    </cfRule>
  </conditionalFormatting>
  <conditionalFormatting sqref="D15:J15">
    <cfRule type="expression" dxfId="125" priority="131" stopIfTrue="1">
      <formula>IF($D$15="",TRUE)</formula>
    </cfRule>
  </conditionalFormatting>
  <conditionalFormatting sqref="D16:J16">
    <cfRule type="expression" dxfId="124" priority="132" stopIfTrue="1">
      <formula>IF($D$16="",TRUE)</formula>
    </cfRule>
  </conditionalFormatting>
  <conditionalFormatting sqref="D17:J17">
    <cfRule type="expression" dxfId="123" priority="133" stopIfTrue="1">
      <formula>IF($D$17="",TRUE)</formula>
    </cfRule>
  </conditionalFormatting>
  <conditionalFormatting sqref="D18:J18">
    <cfRule type="expression" dxfId="122" priority="134" stopIfTrue="1">
      <formula>IF($D$18="",TRUE)</formula>
    </cfRule>
  </conditionalFormatting>
  <conditionalFormatting sqref="D22:E22">
    <cfRule type="expression" dxfId="121" priority="137" stopIfTrue="1">
      <formula>IF($D$22="",TRUE)</formula>
    </cfRule>
  </conditionalFormatting>
  <conditionalFormatting sqref="D10:J10">
    <cfRule type="expression" dxfId="120" priority="34" stopIfTrue="1">
      <formula>IF($D$9=$Q$9,TRUE)</formula>
    </cfRule>
    <cfRule type="expression" dxfId="119" priority="144" stopIfTrue="1">
      <formula>IF(AND($D$10="",$D$9=$R$9),TRUE)</formula>
    </cfRule>
  </conditionalFormatting>
  <conditionalFormatting sqref="D34:E34 D40:E40 D52:E52 D58:E58 D64:E64 D70:E70">
    <cfRule type="expression" dxfId="118" priority="27" stopIfTrue="1">
      <formula>$P$28=""</formula>
    </cfRule>
  </conditionalFormatting>
  <conditionalFormatting sqref="D35:E35 D41:E41 D53:E53 D59:E59 D65:E65 D71:E71">
    <cfRule type="expression" dxfId="117" priority="142" stopIfTrue="1">
      <formula>$P$29=""</formula>
    </cfRule>
  </conditionalFormatting>
  <conditionalFormatting sqref="D32:E32">
    <cfRule type="expression" dxfId="116" priority="120" stopIfTrue="1">
      <formula>$P$26=""</formula>
    </cfRule>
  </conditionalFormatting>
  <conditionalFormatting sqref="D32:E32">
    <cfRule type="expression" dxfId="115" priority="33" stopIfTrue="1">
      <formula>IF(AND(OR($D$26="Yes",$D$26=""),$D$32=""),1,0)</formula>
    </cfRule>
  </conditionalFormatting>
  <conditionalFormatting sqref="D38 D50 D56 D62 D68">
    <cfRule type="expression" dxfId="114" priority="29" stopIfTrue="1">
      <formula>$P$32=""</formula>
    </cfRule>
  </conditionalFormatting>
  <conditionalFormatting sqref="D39:E39 D51 D57 D63 D69">
    <cfRule type="expression" dxfId="113" priority="28" stopIfTrue="1">
      <formula>$P$33=""</formula>
    </cfRule>
  </conditionalFormatting>
  <conditionalFormatting sqref="D40 D52 D58 D64 D70">
    <cfRule type="expression" dxfId="112" priority="18" stopIfTrue="1">
      <formula>$P$34=""</formula>
    </cfRule>
    <cfRule type="expression" dxfId="111" priority="140" stopIfTrue="1">
      <formula>IF(AND(OR($D$28="Yes",$D$28=""),D40=""),1,0)</formula>
    </cfRule>
  </conditionalFormatting>
  <conditionalFormatting sqref="D41 D53 D59 D65 D71">
    <cfRule type="expression" dxfId="110" priority="26" stopIfTrue="1">
      <formula>$P$35=""</formula>
    </cfRule>
  </conditionalFormatting>
  <conditionalFormatting sqref="D38:E38 D50:E50 D56:E56 D62:E62 D68:E68">
    <cfRule type="expression" dxfId="109" priority="31" stopIfTrue="1">
      <formula>$P$26=""</formula>
    </cfRule>
    <cfRule type="expression" dxfId="108" priority="32" stopIfTrue="1">
      <formula>IF(AND(OR($D$26="Yes",$D$26=""),D38=""),1,0)</formula>
    </cfRule>
  </conditionalFormatting>
  <conditionalFormatting sqref="G85:J85">
    <cfRule type="expression" dxfId="107" priority="25" stopIfTrue="1">
      <formula>IF(AND($D$85="Yes, using other format (describe)",$G$85=""),TRUE)</formula>
    </cfRule>
  </conditionalFormatting>
  <conditionalFormatting sqref="D39:E39 D51:E51 D57:E57 D63:E63 D69:E69">
    <cfRule type="expression" dxfId="106" priority="138" stopIfTrue="1">
      <formula>$P$39=""</formula>
    </cfRule>
    <cfRule type="expression" dxfId="105" priority="139" stopIfTrue="1">
      <formula>IF(AND(OR($D$27="Yes",$D$27=""),D39=""),1,0)</formula>
    </cfRule>
  </conditionalFormatting>
  <conditionalFormatting sqref="D33:E33">
    <cfRule type="expression" dxfId="104" priority="20" stopIfTrue="1">
      <formula>IF(AND(OR($D$27="Yes",$D$27=""),$D$33=""),1,0)</formula>
    </cfRule>
    <cfRule type="expression" dxfId="103" priority="21" stopIfTrue="1">
      <formula>$P$27=""</formula>
    </cfRule>
  </conditionalFormatting>
  <conditionalFormatting sqref="D34:E34">
    <cfRule type="expression" dxfId="102" priority="141" stopIfTrue="1">
      <formula>IF(AND(OR($D$28="Yes",$D$28=""),$D$34=""),1,0)</formula>
    </cfRule>
  </conditionalFormatting>
  <conditionalFormatting sqref="D41:E41 D53:E53 D59:E59 D65:E65 D71:E71">
    <cfRule type="expression" dxfId="101" priority="143" stopIfTrue="1">
      <formula>IF(AND(OR($D$29="Yes",$D$29=""),D41=""),1,0)</formula>
    </cfRule>
  </conditionalFormatting>
  <conditionalFormatting sqref="D35:E35">
    <cfRule type="expression" dxfId="100" priority="17" stopIfTrue="1">
      <formula>IF(AND(OR($D$29="Yes",$D$29=""),$D$35=""),1,0)</formula>
    </cfRule>
  </conditionalFormatting>
  <conditionalFormatting sqref="D20:J20">
    <cfRule type="expression" dxfId="99" priority="13" stopIfTrue="1">
      <formula>IF($D$20="",TRUE)</formula>
    </cfRule>
  </conditionalFormatting>
  <conditionalFormatting sqref="D46:E46">
    <cfRule type="expression" dxfId="98" priority="3" stopIfTrue="1">
      <formula>$P$28=""</formula>
    </cfRule>
  </conditionalFormatting>
  <conditionalFormatting sqref="D47:E47">
    <cfRule type="expression" dxfId="97" priority="11" stopIfTrue="1">
      <formula>$P$29=""</formula>
    </cfRule>
  </conditionalFormatting>
  <conditionalFormatting sqref="D44">
    <cfRule type="expression" dxfId="96" priority="5" stopIfTrue="1">
      <formula>$P$32=""</formula>
    </cfRule>
  </conditionalFormatting>
  <conditionalFormatting sqref="D45">
    <cfRule type="expression" dxfId="95" priority="4" stopIfTrue="1">
      <formula>$P$33=""</formula>
    </cfRule>
  </conditionalFormatting>
  <conditionalFormatting sqref="D46">
    <cfRule type="expression" dxfId="94" priority="1" stopIfTrue="1">
      <formula>$P$34=""</formula>
    </cfRule>
    <cfRule type="expression" dxfId="93" priority="10" stopIfTrue="1">
      <formula>IF(AND(OR($D$28="Yes",$D$28=""),D46=""),1,0)</formula>
    </cfRule>
  </conditionalFormatting>
  <conditionalFormatting sqref="D47">
    <cfRule type="expression" dxfId="92" priority="2" stopIfTrue="1">
      <formula>$P$35=""</formula>
    </cfRule>
  </conditionalFormatting>
  <conditionalFormatting sqref="D44:E44">
    <cfRule type="expression" dxfId="91" priority="6" stopIfTrue="1">
      <formula>$P$26=""</formula>
    </cfRule>
    <cfRule type="expression" dxfId="90" priority="7" stopIfTrue="1">
      <formula>IF(AND(OR($D$26="Yes",$D$26=""),D44=""),1,0)</formula>
    </cfRule>
  </conditionalFormatting>
  <conditionalFormatting sqref="D45:E45">
    <cfRule type="expression" dxfId="89" priority="8" stopIfTrue="1">
      <formula>$P$39=""</formula>
    </cfRule>
    <cfRule type="expression" dxfId="88" priority="9" stopIfTrue="1">
      <formula>IF(AND(OR($D$27="Yes",$D$27=""),D45=""),1,0)</formula>
    </cfRule>
  </conditionalFormatting>
  <conditionalFormatting sqref="D47:E47">
    <cfRule type="expression" dxfId="87"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3499AF0A-E38F-4C33-B2C2-B7F8FD847722}"/>
    <hyperlink ref="D20" r:id="rId4" xr:uid="{986D79EA-0659-4B88-925A-5BB8CFC116F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11" activePane="bottomLeft" state="frozen"/>
      <selection pane="bottomLeft" activeCell="D4" sqref="D4"/>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2" t="str">
        <f ca="1">OFFSET(L!$C$1,MATCH("Smelter List"&amp;ADDRESS(ROW(),COLUMN(),4),L!$A:$A,0)-1,SL,,)</f>
        <v>Link to "RMAP Conformant Smelter List"</v>
      </c>
      <c r="K2" s="443"/>
      <c r="L2" s="443"/>
      <c r="M2" s="443"/>
      <c r="N2" s="443"/>
      <c r="O2" s="443"/>
      <c r="P2" s="234"/>
      <c r="Q2" s="235"/>
      <c r="R2" s="236"/>
      <c r="S2" s="236"/>
      <c r="T2" s="236"/>
      <c r="U2" s="267"/>
      <c r="V2" s="267"/>
      <c r="W2" s="268"/>
      <c r="X2" s="267"/>
      <c r="Y2" s="267"/>
      <c r="Z2" s="267"/>
      <c r="AH2" s="176" t="s">
        <v>498</v>
      </c>
    </row>
    <row r="3" spans="1:34" s="269" customFormat="1" ht="243.95" customHeight="1">
      <c r="A3" s="204"/>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70"/>
      <c r="G3" s="445" t="str">
        <f ca="1">OFFSET(L!$C$1,MATCH("General"&amp;"Cpy",L!$A:$A,0)-1,SL,,)</f>
        <v>© 2020 Responsible Minerals Initiative. All rights reserved.</v>
      </c>
      <c r="H3" s="445"/>
      <c r="I3" s="446"/>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6"/>
      <c r="B5" s="347" t="s">
        <v>1154</v>
      </c>
      <c r="C5" s="347" t="s">
        <v>1057</v>
      </c>
      <c r="D5" s="348" t="s">
        <v>1057</v>
      </c>
      <c r="E5" s="348" t="s">
        <v>903</v>
      </c>
      <c r="F5" s="348" t="s">
        <v>794</v>
      </c>
      <c r="G5" s="348" t="s">
        <v>15511</v>
      </c>
      <c r="H5" s="349">
        <v>0</v>
      </c>
      <c r="I5" s="350" t="s">
        <v>1824</v>
      </c>
      <c r="J5" s="350" t="s">
        <v>1825</v>
      </c>
      <c r="K5" s="273"/>
      <c r="L5" s="273"/>
      <c r="M5" s="273"/>
      <c r="N5" s="273"/>
      <c r="O5" s="273"/>
      <c r="P5" s="220"/>
      <c r="Q5" s="274"/>
      <c r="R5" s="217" t="str">
        <f ca="1">IF(ISERROR($V5),"",OFFSET('Smelter Look-up'!$C$4,$V5-4,0)&amp;"")</f>
        <v>Minsur</v>
      </c>
      <c r="S5" s="225" t="str">
        <f t="shared" ref="S5" ca="1" si="0">IF(B5="","",IF(ISERROR(MATCH($E5,CL,0)),"Unknown",INDIRECT("'C'!$A$"&amp;MATCH($E5,CL,0)+1)))</f>
        <v>PE</v>
      </c>
      <c r="T5" s="225" t="str">
        <f ca="1">IF(B5="","",IF(ISERROR(MATCH($J5,SorP!$B$1:$B$6230,0)),"",INDIRECT("'SorP'!$A$"&amp;MATCH($J5,SorP!$B$1:$B$6230,0))))</f>
        <v>PE-ICA</v>
      </c>
      <c r="U5" s="241"/>
      <c r="V5" s="275">
        <f>IF(C5="",NA(),MATCH($B5&amp;$C5,'Smelter Look-up'!$J:$J,0))</f>
        <v>424</v>
      </c>
      <c r="W5" s="276"/>
      <c r="X5" s="276">
        <f t="shared" ref="X5" si="1">IF(AND(C5="Smelter not listed",OR(LEN(D5)=0,LEN(E5)=0)),1,0)</f>
        <v>0</v>
      </c>
      <c r="Y5" s="276"/>
      <c r="Z5" s="276"/>
      <c r="AB5" s="278" t="str">
        <f t="shared" ref="AB5" si="2">B5&amp;C5</f>
        <v>TinMinsur</v>
      </c>
    </row>
    <row r="6" spans="1:34" s="277" customFormat="1" ht="20.100000000000001" customHeight="1">
      <c r="A6" s="216"/>
      <c r="B6" s="347" t="s">
        <v>1154</v>
      </c>
      <c r="C6" s="347" t="s">
        <v>1055</v>
      </c>
      <c r="D6" s="348" t="s">
        <v>15512</v>
      </c>
      <c r="E6" s="348" t="s">
        <v>1128</v>
      </c>
      <c r="F6" s="348" t="s">
        <v>824</v>
      </c>
      <c r="G6" s="348" t="s">
        <v>15511</v>
      </c>
      <c r="H6" s="349">
        <v>0</v>
      </c>
      <c r="I6" s="350" t="s">
        <v>1832</v>
      </c>
      <c r="J6" s="350" t="s">
        <v>15513</v>
      </c>
      <c r="K6" s="273"/>
      <c r="L6" s="273"/>
      <c r="M6" s="273"/>
      <c r="N6" s="273"/>
      <c r="O6" s="273"/>
      <c r="P6" s="220"/>
      <c r="Q6" s="274"/>
      <c r="R6" s="217" t="str">
        <f ca="1">IF(ISERROR($V6),"",OFFSET('Smelter Look-up'!$C$4,$V6-4,0)&amp;"")</f>
        <v>PT Timah Tbk Kundur</v>
      </c>
      <c r="S6" s="225" t="str">
        <f t="shared" ref="S6:S37" ca="1" si="3">IF(B6="","",IF(ISERROR(MATCH($E6,CL,0)),"Unknown",INDIRECT("'C'!$A$"&amp;MATCH($E6,CL,0)+1)))</f>
        <v>ID</v>
      </c>
      <c r="T6" s="225" t="str">
        <f ca="1">IF(B6="","",IF(ISERROR(MATCH($J6,SorP!$B$1:$B$6230,0)),"",INDIRECT("'SorP'!$A$"&amp;MATCH($J6,SorP!$B$1:$B$6230,0))))</f>
        <v/>
      </c>
      <c r="U6" s="241"/>
      <c r="V6" s="275">
        <f>IF(C6="",NA(),MATCH($B6&amp;$C6,'Smelter Look-up'!$J:$J,0))</f>
        <v>444</v>
      </c>
      <c r="W6" s="276"/>
      <c r="X6" s="276">
        <f t="shared" ref="X6:X37" si="4">IF(AND(C6="Smelter not listed",OR(LEN(D6)=0,LEN(E6)=0)),1,0)</f>
        <v>0</v>
      </c>
      <c r="Y6" s="276"/>
      <c r="Z6" s="276"/>
      <c r="AB6" s="278" t="str">
        <f t="shared" ref="AB6:AB37" si="5">B6&amp;C6</f>
        <v>TinPT Tambang Timah</v>
      </c>
    </row>
    <row r="7" spans="1:34" s="277" customFormat="1" ht="20.100000000000001" customHeight="1">
      <c r="A7" s="216"/>
      <c r="B7" s="347" t="s">
        <v>1154</v>
      </c>
      <c r="C7" s="347" t="s">
        <v>15514</v>
      </c>
      <c r="D7" s="348" t="s">
        <v>15515</v>
      </c>
      <c r="E7" s="348" t="s">
        <v>1128</v>
      </c>
      <c r="F7" s="348" t="s">
        <v>802</v>
      </c>
      <c r="G7" s="348" t="s">
        <v>15511</v>
      </c>
      <c r="H7" s="349">
        <v>0</v>
      </c>
      <c r="I7" s="350" t="s">
        <v>1834</v>
      </c>
      <c r="J7" s="350" t="s">
        <v>15516</v>
      </c>
      <c r="K7" s="273"/>
      <c r="L7" s="273"/>
      <c r="M7" s="273"/>
      <c r="N7" s="273"/>
      <c r="O7" s="273"/>
      <c r="P7" s="220"/>
      <c r="Q7" s="274"/>
      <c r="R7" s="217" t="str">
        <f ca="1">IF(ISERROR($V7),"",OFFSET('Smelter Look-up'!$C$4,$V7-4,0)&amp;"")</f>
        <v/>
      </c>
      <c r="S7" s="225" t="str">
        <f t="shared" ca="1" si="3"/>
        <v>ID</v>
      </c>
      <c r="T7" s="225" t="str">
        <f ca="1">IF(B7="","",IF(ISERROR(MATCH($J7,SorP!$B$1:$B$6230,0)),"",INDIRECT("'SorP'!$A$"&amp;MATCH($J7,SorP!$B$1:$B$6230,0))))</f>
        <v/>
      </c>
      <c r="U7" s="241"/>
      <c r="V7" s="275" t="e">
        <f>IF(C7="",NA(),MATCH($B7&amp;$C7,'Smelter Look-up'!$J:$J,0))</f>
        <v>#N/A</v>
      </c>
      <c r="W7" s="276"/>
      <c r="X7" s="276">
        <f t="shared" si="4"/>
        <v>0</v>
      </c>
      <c r="Y7" s="276"/>
      <c r="Z7" s="276"/>
      <c r="AB7" s="278" t="str">
        <f t="shared" si="5"/>
        <v>TinPT Timah</v>
      </c>
    </row>
    <row r="8" spans="1:34" s="277" customFormat="1" ht="20.100000000000001" customHeight="1">
      <c r="A8" s="216"/>
      <c r="B8" s="347" t="s">
        <v>1154</v>
      </c>
      <c r="C8" s="347" t="s">
        <v>1838</v>
      </c>
      <c r="D8" s="348" t="s">
        <v>1054</v>
      </c>
      <c r="E8" s="348" t="s">
        <v>911</v>
      </c>
      <c r="F8" s="348" t="s">
        <v>806</v>
      </c>
      <c r="G8" s="348" t="s">
        <v>15511</v>
      </c>
      <c r="H8" s="349">
        <v>0</v>
      </c>
      <c r="I8" s="350" t="s">
        <v>1836</v>
      </c>
      <c r="J8" s="350" t="s">
        <v>1837</v>
      </c>
      <c r="K8" s="273"/>
      <c r="L8" s="273"/>
      <c r="M8" s="273"/>
      <c r="N8" s="273"/>
      <c r="O8" s="273"/>
      <c r="P8" s="220"/>
      <c r="Q8" s="274"/>
      <c r="R8" s="217" t="str">
        <f ca="1">IF(ISERROR($V8),"",OFFSET('Smelter Look-up'!$C$4,$V8-4,0)&amp;"")</f>
        <v>Thaisarco</v>
      </c>
      <c r="S8" s="225" t="str">
        <f t="shared" ca="1" si="3"/>
        <v>TH</v>
      </c>
      <c r="T8" s="225" t="str">
        <f ca="1">IF(B8="","",IF(ISERROR(MATCH($J8,SorP!$B$1:$B$6230,0)),"",INDIRECT("'SorP'!$A$"&amp;MATCH($J8,SorP!$B$1:$B$6230,0))))</f>
        <v>TH-83</v>
      </c>
      <c r="U8" s="241"/>
      <c r="V8" s="275">
        <f>IF(C8="",NA(),MATCH($B8&amp;$C8,'Smelter Look-up'!$J:$J,0))</f>
        <v>457</v>
      </c>
      <c r="W8" s="276"/>
      <c r="X8" s="276">
        <f t="shared" si="4"/>
        <v>0</v>
      </c>
      <c r="Y8" s="276"/>
      <c r="Z8" s="276"/>
      <c r="AB8" s="278" t="str">
        <f t="shared" si="5"/>
        <v>TinThailand Smelting &amp; Refining Co Ltd</v>
      </c>
    </row>
    <row r="9" spans="1:34" s="277" customFormat="1" ht="20.100000000000001" customHeight="1">
      <c r="A9" s="216"/>
      <c r="B9" s="347" t="s">
        <v>1154</v>
      </c>
      <c r="C9" s="347" t="s">
        <v>844</v>
      </c>
      <c r="D9" s="348" t="s">
        <v>844</v>
      </c>
      <c r="E9" s="348" t="s">
        <v>1138</v>
      </c>
      <c r="F9" s="348" t="s">
        <v>792</v>
      </c>
      <c r="G9" s="348" t="s">
        <v>15511</v>
      </c>
      <c r="H9" s="349">
        <v>0</v>
      </c>
      <c r="I9" s="350" t="s">
        <v>1819</v>
      </c>
      <c r="J9" s="350" t="s">
        <v>15517</v>
      </c>
      <c r="K9" s="273"/>
      <c r="L9" s="273"/>
      <c r="M9" s="273"/>
      <c r="N9" s="273"/>
      <c r="O9" s="273"/>
      <c r="P9" s="220"/>
      <c r="Q9" s="274"/>
      <c r="R9" s="217" t="str">
        <f ca="1">IF(ISERROR($V9),"",OFFSET('Smelter Look-up'!$C$4,$V9-4,0)&amp;"")</f>
        <v>Malaysia Smelting Corporation (MSC)</v>
      </c>
      <c r="S9" s="225" t="str">
        <f t="shared" ca="1" si="3"/>
        <v>MY</v>
      </c>
      <c r="T9" s="225" t="str">
        <f ca="1">IF(B9="","",IF(ISERROR(MATCH($J9,SorP!$B$1:$B$6230,0)),"",INDIRECT("'SorP'!$A$"&amp;MATCH($J9,SorP!$B$1:$B$6230,0))))</f>
        <v/>
      </c>
      <c r="U9" s="241"/>
      <c r="V9" s="275">
        <f>IF(C9="",NA(),MATCH($B9&amp;$C9,'Smelter Look-up'!$J:$J,0))</f>
        <v>414</v>
      </c>
      <c r="W9" s="276"/>
      <c r="X9" s="276">
        <f t="shared" si="4"/>
        <v>0</v>
      </c>
      <c r="Y9" s="276"/>
      <c r="Z9" s="276"/>
      <c r="AB9" s="278" t="str">
        <f t="shared" si="5"/>
        <v>TinMalaysia Smelting Corporation (MSC)</v>
      </c>
    </row>
    <row r="10" spans="1:34" s="277" customFormat="1" ht="20.100000000000001" customHeight="1">
      <c r="A10" s="216"/>
      <c r="B10" s="347" t="s">
        <v>1154</v>
      </c>
      <c r="C10" s="347" t="s">
        <v>1826</v>
      </c>
      <c r="D10" s="348" t="s">
        <v>1057</v>
      </c>
      <c r="E10" s="348" t="s">
        <v>903</v>
      </c>
      <c r="F10" s="348" t="s">
        <v>794</v>
      </c>
      <c r="G10" s="348" t="s">
        <v>15511</v>
      </c>
      <c r="H10" s="349">
        <v>0</v>
      </c>
      <c r="I10" s="350" t="s">
        <v>1824</v>
      </c>
      <c r="J10" s="350" t="s">
        <v>1825</v>
      </c>
      <c r="K10" s="273"/>
      <c r="L10" s="273"/>
      <c r="M10" s="273"/>
      <c r="N10" s="273"/>
      <c r="O10" s="273"/>
      <c r="P10" s="220"/>
      <c r="Q10" s="274"/>
      <c r="R10" s="217" t="str">
        <f ca="1">IF(ISERROR($V10),"",OFFSET('Smelter Look-up'!$C$4,$V10-4,0)&amp;"")</f>
        <v>Minsur</v>
      </c>
      <c r="S10" s="225" t="str">
        <f t="shared" ca="1" si="3"/>
        <v>PE</v>
      </c>
      <c r="T10" s="225" t="str">
        <f ca="1">IF(B10="","",IF(ISERROR(MATCH($J10,SorP!$B$1:$B$6230,0)),"",INDIRECT("'SorP'!$A$"&amp;MATCH($J10,SorP!$B$1:$B$6230,0))))</f>
        <v>PE-ICA</v>
      </c>
      <c r="U10" s="241"/>
      <c r="V10" s="275">
        <f>IF(C10="",NA(),MATCH($B10&amp;$C10,'Smelter Look-up'!$J:$J,0))</f>
        <v>384</v>
      </c>
      <c r="W10" s="276"/>
      <c r="X10" s="276">
        <f t="shared" si="4"/>
        <v>0</v>
      </c>
      <c r="Y10" s="276"/>
      <c r="Z10" s="276"/>
      <c r="AB10" s="278" t="str">
        <f t="shared" si="5"/>
        <v>TinFunsur Smelter</v>
      </c>
    </row>
    <row r="11" spans="1:34" s="277" customFormat="1" ht="20.100000000000001" customHeight="1">
      <c r="A11" s="216"/>
      <c r="B11" s="347" t="s">
        <v>1153</v>
      </c>
      <c r="C11" s="347" t="s">
        <v>936</v>
      </c>
      <c r="D11" s="348" t="s">
        <v>936</v>
      </c>
      <c r="E11" s="348" t="s">
        <v>1120</v>
      </c>
      <c r="F11" s="348" t="s">
        <v>740</v>
      </c>
      <c r="G11" s="348" t="s">
        <v>15511</v>
      </c>
      <c r="H11" s="349">
        <v>0</v>
      </c>
      <c r="I11" s="350" t="s">
        <v>1677</v>
      </c>
      <c r="J11" s="350" t="s">
        <v>1633</v>
      </c>
      <c r="K11" s="273"/>
      <c r="L11" s="273"/>
      <c r="M11" s="273"/>
      <c r="N11" s="273"/>
      <c r="O11" s="273"/>
      <c r="P11" s="220"/>
      <c r="Q11" s="274"/>
      <c r="R11" s="217" t="str">
        <f ca="1">IF(ISERROR($V11),"",OFFSET('Smelter Look-up'!$C$4,$V11-4,0)&amp;"")</f>
        <v>Royal Canadian Mint</v>
      </c>
      <c r="S11" s="225" t="str">
        <f t="shared" ca="1" si="3"/>
        <v>CA</v>
      </c>
      <c r="T11" s="225" t="str">
        <f ca="1">IF(B11="","",IF(ISERROR(MATCH($J11,SorP!$B$1:$B$6230,0)),"",INDIRECT("'SorP'!$A$"&amp;MATCH($J11,SorP!$B$1:$B$6230,0))))</f>
        <v>CA-ON</v>
      </c>
      <c r="U11" s="241"/>
      <c r="V11" s="275">
        <f>IF(C11="",NA(),MATCH($B11&amp;$C11,'Smelter Look-up'!$J:$J,0))</f>
        <v>202</v>
      </c>
      <c r="W11" s="276"/>
      <c r="X11" s="276">
        <f t="shared" si="4"/>
        <v>0</v>
      </c>
      <c r="Y11" s="276"/>
      <c r="Z11" s="276"/>
      <c r="AB11" s="278" t="str">
        <f t="shared" si="5"/>
        <v>GoldRoyal Canadian Mint</v>
      </c>
    </row>
    <row r="12" spans="1:34" s="277" customFormat="1" ht="20.100000000000001" customHeight="1">
      <c r="A12" s="216"/>
      <c r="B12" s="347" t="s">
        <v>1153</v>
      </c>
      <c r="C12" s="347" t="s">
        <v>928</v>
      </c>
      <c r="D12" s="348" t="s">
        <v>928</v>
      </c>
      <c r="E12" s="348" t="s">
        <v>1136</v>
      </c>
      <c r="F12" s="348" t="s">
        <v>679</v>
      </c>
      <c r="G12" s="348" t="s">
        <v>15511</v>
      </c>
      <c r="H12" s="349">
        <v>0</v>
      </c>
      <c r="I12" s="350" t="s">
        <v>1589</v>
      </c>
      <c r="J12" s="350" t="s">
        <v>1590</v>
      </c>
      <c r="K12" s="273"/>
      <c r="L12" s="273"/>
      <c r="M12" s="273"/>
      <c r="N12" s="273"/>
      <c r="O12" s="273"/>
      <c r="P12" s="220"/>
      <c r="Q12" s="274"/>
      <c r="R12" s="217" t="str">
        <f ca="1">IF(ISERROR($V12),"",OFFSET('Smelter Look-up'!$C$4,$V12-4,0)&amp;"")</f>
        <v>Caridad</v>
      </c>
      <c r="S12" s="225" t="str">
        <f t="shared" ca="1" si="3"/>
        <v>MX</v>
      </c>
      <c r="T12" s="225" t="str">
        <f ca="1">IF(B12="","",IF(ISERROR(MATCH($J12,SorP!$B$1:$B$6230,0)),"",INDIRECT("'SorP'!$A$"&amp;MATCH($J12,SorP!$B$1:$B$6230,0))))</f>
        <v>MX-SON</v>
      </c>
      <c r="U12" s="241"/>
      <c r="V12" s="275">
        <f>IF(C12="",NA(),MATCH($B12&amp;$C12,'Smelter Look-up'!$J:$J,0))</f>
        <v>40</v>
      </c>
      <c r="W12" s="276"/>
      <c r="X12" s="276">
        <f t="shared" si="4"/>
        <v>0</v>
      </c>
      <c r="Y12" s="276"/>
      <c r="Z12" s="276"/>
      <c r="AB12" s="278" t="str">
        <f t="shared" si="5"/>
        <v>GoldCaridad</v>
      </c>
    </row>
    <row r="13" spans="1:34" s="277" customFormat="1" ht="20.100000000000001" customHeight="1">
      <c r="A13" s="216"/>
      <c r="B13" s="347" t="s">
        <v>1153</v>
      </c>
      <c r="C13" s="347" t="s">
        <v>1631</v>
      </c>
      <c r="D13" s="348" t="s">
        <v>2309</v>
      </c>
      <c r="E13" s="348" t="s">
        <v>15518</v>
      </c>
      <c r="F13" s="348" t="s">
        <v>704</v>
      </c>
      <c r="G13" s="348" t="s">
        <v>15511</v>
      </c>
      <c r="H13" s="349">
        <v>0</v>
      </c>
      <c r="I13" s="350" t="s">
        <v>1629</v>
      </c>
      <c r="J13" s="350" t="s">
        <v>1630</v>
      </c>
      <c r="K13" s="273"/>
      <c r="L13" s="273"/>
      <c r="M13" s="273"/>
      <c r="N13" s="273"/>
      <c r="O13" s="273"/>
      <c r="P13" s="220"/>
      <c r="Q13" s="274"/>
      <c r="R13" s="217" t="str">
        <f ca="1">IF(ISERROR($V13),"",OFFSET('Smelter Look-up'!$C$4,$V13-4,0)&amp;"")</f>
        <v>Asahi Refining USA Inc.</v>
      </c>
      <c r="S13" s="225" t="str">
        <f t="shared" ca="1" si="3"/>
        <v>Unknown</v>
      </c>
      <c r="T13" s="225" t="str">
        <f ca="1">IF(B13="","",IF(ISERROR(MATCH($J13,SorP!$B$1:$B$6230,0)),"",INDIRECT("'SorP'!$A$"&amp;MATCH($J13,SorP!$B$1:$B$6230,0))))</f>
        <v>US-UT</v>
      </c>
      <c r="U13" s="241"/>
      <c r="V13" s="275">
        <f>IF(C13="",NA(),MATCH($B13&amp;$C13,'Smelter Look-up'!$J:$J,0))</f>
        <v>116</v>
      </c>
      <c r="W13" s="276"/>
      <c r="X13" s="276">
        <f t="shared" si="4"/>
        <v>0</v>
      </c>
      <c r="Y13" s="276"/>
      <c r="Z13" s="276"/>
      <c r="AB13" s="278" t="str">
        <f t="shared" si="5"/>
        <v>GoldJohnson Matthey Inc. (USA)</v>
      </c>
    </row>
    <row r="14" spans="1:34" s="277" customFormat="1" ht="20.100000000000001" customHeight="1">
      <c r="A14" s="216"/>
      <c r="B14" s="347" t="s">
        <v>1153</v>
      </c>
      <c r="C14" s="347" t="s">
        <v>15519</v>
      </c>
      <c r="D14" s="348" t="s">
        <v>15520</v>
      </c>
      <c r="E14" s="348" t="s">
        <v>15518</v>
      </c>
      <c r="F14" s="348" t="s">
        <v>15521</v>
      </c>
      <c r="G14" s="348" t="s">
        <v>15511</v>
      </c>
      <c r="H14" s="349">
        <v>0</v>
      </c>
      <c r="I14" s="350" t="s">
        <v>15522</v>
      </c>
      <c r="J14" s="350" t="s">
        <v>1666</v>
      </c>
      <c r="K14" s="273"/>
      <c r="L14" s="273"/>
      <c r="M14" s="273"/>
      <c r="N14" s="273"/>
      <c r="O14" s="273"/>
      <c r="P14" s="220"/>
      <c r="Q14" s="274"/>
      <c r="R14" s="217" t="str">
        <f ca="1">IF(ISERROR($V14),"",OFFSET('Smelter Look-up'!$C$4,$V14-4,0)&amp;"")</f>
        <v/>
      </c>
      <c r="S14" s="225" t="str">
        <f t="shared" ca="1" si="3"/>
        <v>Unknown</v>
      </c>
      <c r="T14" s="225" t="str">
        <f ca="1">IF(B14="","",IF(ISERROR(MATCH($J14,SorP!$B$1:$B$6230,0)),"",INDIRECT("'SorP'!$A$"&amp;MATCH($J14,SorP!$B$1:$B$6230,0))))</f>
        <v>US-OH</v>
      </c>
      <c r="U14" s="241"/>
      <c r="V14" s="275" t="e">
        <f>IF(C14="",NA(),MATCH($B14&amp;$C14,'Smelter Look-up'!$J:$J,0))</f>
        <v>#N/A</v>
      </c>
      <c r="W14" s="276"/>
      <c r="X14" s="276">
        <f t="shared" si="4"/>
        <v>0</v>
      </c>
      <c r="Y14" s="276"/>
      <c r="Z14" s="276"/>
      <c r="AB14" s="278" t="str">
        <f t="shared" si="5"/>
        <v>GoldOhio Precious Metals, LLC</v>
      </c>
    </row>
    <row r="15" spans="1:34" s="277" customFormat="1" ht="20.100000000000001" customHeight="1">
      <c r="A15" s="216"/>
      <c r="B15" s="347" t="s">
        <v>1153</v>
      </c>
      <c r="C15" s="347" t="s">
        <v>1188</v>
      </c>
      <c r="D15" s="348" t="s">
        <v>1188</v>
      </c>
      <c r="E15" s="348" t="s">
        <v>15518</v>
      </c>
      <c r="F15" s="348" t="s">
        <v>741</v>
      </c>
      <c r="G15" s="348" t="s">
        <v>15511</v>
      </c>
      <c r="H15" s="349">
        <v>0</v>
      </c>
      <c r="I15" s="350" t="s">
        <v>1678</v>
      </c>
      <c r="J15" s="350" t="s">
        <v>1679</v>
      </c>
      <c r="K15" s="273"/>
      <c r="L15" s="273"/>
      <c r="M15" s="273"/>
      <c r="N15" s="273"/>
      <c r="O15" s="273"/>
      <c r="P15" s="220"/>
      <c r="Q15" s="274"/>
      <c r="R15" s="217" t="str">
        <f ca="1">IF(ISERROR($V15),"",OFFSET('Smelter Look-up'!$C$4,$V15-4,0)&amp;"")</f>
        <v>Sabin Metal Corp.</v>
      </c>
      <c r="S15" s="225" t="str">
        <f t="shared" ca="1" si="3"/>
        <v>Unknown</v>
      </c>
      <c r="T15" s="225" t="str">
        <f ca="1">IF(B15="","",IF(ISERROR(MATCH($J15,SorP!$B$1:$B$6230,0)),"",INDIRECT("'SorP'!$A$"&amp;MATCH($J15,SorP!$B$1:$B$6230,0))))</f>
        <v>US-ND</v>
      </c>
      <c r="U15" s="241"/>
      <c r="V15" s="275">
        <f>IF(C15="",NA(),MATCH($B15&amp;$C15,'Smelter Look-up'!$J:$J,0))</f>
        <v>204</v>
      </c>
      <c r="W15" s="276"/>
      <c r="X15" s="276">
        <f t="shared" si="4"/>
        <v>0</v>
      </c>
      <c r="Y15" s="276"/>
      <c r="Z15" s="276"/>
      <c r="AB15" s="278" t="str">
        <f t="shared" si="5"/>
        <v>GoldSabin Metal Corp.</v>
      </c>
    </row>
    <row r="16" spans="1:34" s="277" customFormat="1" ht="20.100000000000001" customHeight="1">
      <c r="A16" s="216"/>
      <c r="B16" s="347" t="s">
        <v>1153</v>
      </c>
      <c r="C16" s="347" t="s">
        <v>1252</v>
      </c>
      <c r="D16" s="348" t="s">
        <v>1252</v>
      </c>
      <c r="E16" s="348" t="s">
        <v>15518</v>
      </c>
      <c r="F16" s="348" t="s">
        <v>724</v>
      </c>
      <c r="G16" s="348" t="s">
        <v>15511</v>
      </c>
      <c r="H16" s="349">
        <v>0</v>
      </c>
      <c r="I16" s="350" t="s">
        <v>1654</v>
      </c>
      <c r="J16" s="350" t="s">
        <v>1655</v>
      </c>
      <c r="K16" s="273"/>
      <c r="L16" s="273"/>
      <c r="M16" s="273"/>
      <c r="N16" s="273"/>
      <c r="O16" s="273"/>
      <c r="P16" s="220"/>
      <c r="Q16" s="274"/>
      <c r="R16" s="217" t="str">
        <f ca="1">IF(ISERROR($V16),"",OFFSET('Smelter Look-up'!$C$4,$V16-4,0)&amp;"")</f>
        <v>Metalor USA Refining Corporation</v>
      </c>
      <c r="S16" s="225" t="str">
        <f t="shared" ca="1" si="3"/>
        <v>Unknown</v>
      </c>
      <c r="T16" s="225" t="str">
        <f ca="1">IF(B16="","",IF(ISERROR(MATCH($J16,SorP!$B$1:$B$6230,0)),"",INDIRECT("'SorP'!$A$"&amp;MATCH($J16,SorP!$B$1:$B$6230,0))))</f>
        <v>US-MA</v>
      </c>
      <c r="U16" s="241"/>
      <c r="V16" s="275">
        <f>IF(C16="",NA(),MATCH($B16&amp;$C16,'Smelter Look-up'!$J:$J,0))</f>
        <v>159</v>
      </c>
      <c r="W16" s="276"/>
      <c r="X16" s="276">
        <f t="shared" si="4"/>
        <v>0</v>
      </c>
      <c r="Y16" s="276"/>
      <c r="Z16" s="276"/>
      <c r="AB16" s="278" t="str">
        <f t="shared" si="5"/>
        <v>GoldMetalor USA Refining Corporation</v>
      </c>
    </row>
    <row r="17" spans="1:28" s="277" customFormat="1" ht="20.100000000000001" customHeight="1">
      <c r="A17" s="216"/>
      <c r="B17" s="347" t="s">
        <v>1155</v>
      </c>
      <c r="C17" s="347" t="s">
        <v>1448</v>
      </c>
      <c r="D17" s="348" t="s">
        <v>1448</v>
      </c>
      <c r="E17" s="348" t="s">
        <v>1136</v>
      </c>
      <c r="F17" s="348" t="s">
        <v>1449</v>
      </c>
      <c r="G17" s="348" t="s">
        <v>15511</v>
      </c>
      <c r="H17" s="349">
        <v>0</v>
      </c>
      <c r="I17" s="350" t="s">
        <v>1782</v>
      </c>
      <c r="J17" s="350" t="s">
        <v>1783</v>
      </c>
      <c r="K17" s="273"/>
      <c r="L17" s="273"/>
      <c r="M17" s="273"/>
      <c r="N17" s="273"/>
      <c r="O17" s="273"/>
      <c r="P17" s="220"/>
      <c r="Q17" s="274"/>
      <c r="R17" s="217" t="str">
        <f ca="1">IF(ISERROR($V17),"",OFFSET('Smelter Look-up'!$C$4,$V17-4,0)&amp;"")</f>
        <v>KEMET Blue Metals</v>
      </c>
      <c r="S17" s="225" t="str">
        <f t="shared" ca="1" si="3"/>
        <v>MX</v>
      </c>
      <c r="T17" s="225" t="str">
        <f ca="1">IF(B17="","",IF(ISERROR(MATCH($J17,SorP!$B$1:$B$6230,0)),"",INDIRECT("'SorP'!$A$"&amp;MATCH($J17,SorP!$B$1:$B$6230,0))))</f>
        <v>MX-TAM</v>
      </c>
      <c r="U17" s="241"/>
      <c r="V17" s="275">
        <f>IF(C17="",NA(),MATCH($B17&amp;$C17,'Smelter Look-up'!$J:$J,0))</f>
        <v>320</v>
      </c>
      <c r="W17" s="276"/>
      <c r="X17" s="276">
        <f t="shared" si="4"/>
        <v>0</v>
      </c>
      <c r="Y17" s="276"/>
      <c r="Z17" s="276"/>
      <c r="AB17" s="278" t="str">
        <f t="shared" si="5"/>
        <v>TantalumKEMET Blue Metals</v>
      </c>
    </row>
    <row r="18" spans="1:28" s="277" customFormat="1" ht="20.100000000000001" customHeight="1">
      <c r="A18" s="216"/>
      <c r="B18" s="347" t="s">
        <v>1155</v>
      </c>
      <c r="C18" s="347" t="s">
        <v>15523</v>
      </c>
      <c r="D18" s="348" t="s">
        <v>15523</v>
      </c>
      <c r="E18" s="348" t="s">
        <v>15518</v>
      </c>
      <c r="F18" s="348" t="s">
        <v>15524</v>
      </c>
      <c r="G18" s="348" t="s">
        <v>15511</v>
      </c>
      <c r="H18" s="349">
        <v>0</v>
      </c>
      <c r="I18" s="350" t="s">
        <v>15525</v>
      </c>
      <c r="J18" s="350" t="s">
        <v>1794</v>
      </c>
      <c r="K18" s="273"/>
      <c r="L18" s="273"/>
      <c r="M18" s="273"/>
      <c r="N18" s="273"/>
      <c r="O18" s="273"/>
      <c r="P18" s="220"/>
      <c r="Q18" s="274"/>
      <c r="R18" s="217" t="str">
        <f ca="1">IF(ISERROR($V18),"",OFFSET('Smelter Look-up'!$C$4,$V18-4,0)&amp;"")</f>
        <v/>
      </c>
      <c r="S18" s="225" t="str">
        <f t="shared" ca="1" si="3"/>
        <v>Unknown</v>
      </c>
      <c r="T18" s="225" t="str">
        <f ca="1">IF(B18="","",IF(ISERROR(MATCH($J18,SorP!$B$1:$B$6230,0)),"",INDIRECT("'SorP'!$A$"&amp;MATCH($J18,SorP!$B$1:$B$6230,0))))</f>
        <v>US-NV</v>
      </c>
      <c r="U18" s="241"/>
      <c r="V18" s="275" t="e">
        <f>IF(C18="",NA(),MATCH($B18&amp;$C18,'Smelter Look-up'!$J:$J,0))</f>
        <v>#N/A</v>
      </c>
      <c r="W18" s="276"/>
      <c r="X18" s="276">
        <f t="shared" si="4"/>
        <v>0</v>
      </c>
      <c r="Y18" s="276"/>
      <c r="Z18" s="276"/>
      <c r="AB18" s="278" t="str">
        <f t="shared" si="5"/>
        <v>TantalumKEMET Blue Powder</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86" priority="71" stopIfTrue="1">
      <formula>IF(B586="",TRUE)</formula>
    </cfRule>
    <cfRule type="expression" dxfId="85" priority="82" stopIfTrue="1">
      <formula>IF(AND(COUNTIF(MetalSmelter,B586&amp;C586)=0,LEN(C586)&gt;0),TRUE,FALSE)</formula>
    </cfRule>
  </conditionalFormatting>
  <conditionalFormatting sqref="D586:D2504">
    <cfRule type="expression" dxfId="84" priority="65" stopIfTrue="1">
      <formula>IF(AND(LEN($C586)&gt;0,($C586&lt;&gt;"Smelter Not Listed")),1,0)</formula>
    </cfRule>
    <cfRule type="expression" dxfId="83" priority="90" stopIfTrue="1">
      <formula>IF(AND(D586="",$C586=$X$4),TRUE)</formula>
    </cfRule>
    <cfRule type="expression" dxfId="82" priority="91" stopIfTrue="1">
      <formula>IF(FIND("!",D586),TRUE)</formula>
    </cfRule>
  </conditionalFormatting>
  <conditionalFormatting sqref="G586:G2504">
    <cfRule type="expression" dxfId="81" priority="92" stopIfTrue="1">
      <formula>IF(FIND("Enter smelter details",G586),TRUE)</formula>
    </cfRule>
  </conditionalFormatting>
  <conditionalFormatting sqref="R586:R2505 E586:E2504">
    <cfRule type="expression" dxfId="80" priority="78" stopIfTrue="1">
      <formula>IF(AND(E586="",$C586=$X$4),TRUE)</formula>
    </cfRule>
    <cfRule type="expression" dxfId="79" priority="79" stopIfTrue="1">
      <formula>IF(FIND("!",E586),TRUE)</formula>
    </cfRule>
  </conditionalFormatting>
  <conditionalFormatting sqref="F586:F2504">
    <cfRule type="expression" dxfId="78" priority="69" stopIfTrue="1">
      <formula>IF(AND(LEN($A586)&gt;0,$A586&lt;&gt;$F586),TRUE,FALSE)</formula>
    </cfRule>
  </conditionalFormatting>
  <conditionalFormatting sqref="C586:C2504">
    <cfRule type="expression" dxfId="77" priority="68" stopIfTrue="1">
      <formula>IF(AND(B586&lt;&gt;"",C586=""),TRUE)</formula>
    </cfRule>
  </conditionalFormatting>
  <conditionalFormatting sqref="B21:B585 B19">
    <cfRule type="expression" dxfId="76" priority="47" stopIfTrue="1">
      <formula>IF(B19="",TRUE)</formula>
    </cfRule>
    <cfRule type="expression" dxfId="75" priority="50" stopIfTrue="1">
      <formula>IF(AND(COUNTIF(MetalSmelter,B19&amp;C19)=0,LEN(C19)&gt;0),TRUE,FALSE)</formula>
    </cfRule>
  </conditionalFormatting>
  <conditionalFormatting sqref="D19 D21:D585">
    <cfRule type="expression" dxfId="74" priority="44" stopIfTrue="1">
      <formula>IF(AND(LEN($C19)&gt;0,($C19&lt;&gt;"Smelter Not Listed")),1,0)</formula>
    </cfRule>
    <cfRule type="expression" dxfId="73" priority="51" stopIfTrue="1">
      <formula>IF(AND(D19="",$C19=$X$4),TRUE)</formula>
    </cfRule>
    <cfRule type="expression" dxfId="72" priority="52" stopIfTrue="1">
      <formula>IF(FIND("!",D19),TRUE)</formula>
    </cfRule>
  </conditionalFormatting>
  <conditionalFormatting sqref="G19 G21:G585">
    <cfRule type="expression" dxfId="71" priority="53" stopIfTrue="1">
      <formula>IF(FIND("Enter smelter details",G19),TRUE)</formula>
    </cfRule>
  </conditionalFormatting>
  <conditionalFormatting sqref="R5:R585 E19 E21:E585">
    <cfRule type="expression" dxfId="70" priority="48" stopIfTrue="1">
      <formula>IF(AND(E5="",$C5=$X$4),TRUE)</formula>
    </cfRule>
    <cfRule type="expression" dxfId="69" priority="49" stopIfTrue="1">
      <formula>IF(FIND("!",E5),TRUE)</formula>
    </cfRule>
  </conditionalFormatting>
  <conditionalFormatting sqref="F19 F21:F585">
    <cfRule type="expression" dxfId="68" priority="46" stopIfTrue="1">
      <formula>IF(AND(LEN($A19)&gt;0,$A19&lt;&gt;$F19),TRUE,FALSE)</formula>
    </cfRule>
  </conditionalFormatting>
  <conditionalFormatting sqref="C21:C585 C19">
    <cfRule type="expression" dxfId="67" priority="45" stopIfTrue="1">
      <formula>IF(AND(B19&lt;&gt;"",C19=""),TRUE)</formula>
    </cfRule>
  </conditionalFormatting>
  <conditionalFormatting sqref="B20">
    <cfRule type="expression" dxfId="66" priority="37" stopIfTrue="1">
      <formula>IF(B20="",TRUE)</formula>
    </cfRule>
    <cfRule type="expression" dxfId="65" priority="40" stopIfTrue="1">
      <formula>IF(AND(COUNTIF(MetalSmelter,B20&amp;C20)=0,LEN(C20)&gt;0),TRUE,FALSE)</formula>
    </cfRule>
  </conditionalFormatting>
  <conditionalFormatting sqref="D20">
    <cfRule type="expression" dxfId="64" priority="34" stopIfTrue="1">
      <formula>IF(AND(LEN($C20)&gt;0,($C20&lt;&gt;"Smelter Not Listed")),1,0)</formula>
    </cfRule>
    <cfRule type="expression" dxfId="63" priority="41" stopIfTrue="1">
      <formula>IF(AND(D20="",$C20=$X$4),TRUE)</formula>
    </cfRule>
    <cfRule type="expression" dxfId="62" priority="42" stopIfTrue="1">
      <formula>IF(FIND("!",D20),TRUE)</formula>
    </cfRule>
  </conditionalFormatting>
  <conditionalFormatting sqref="G20">
    <cfRule type="expression" dxfId="61" priority="43" stopIfTrue="1">
      <formula>IF(FIND("Enter smelter details",G20),TRUE)</formula>
    </cfRule>
  </conditionalFormatting>
  <conditionalFormatting sqref="E20">
    <cfRule type="expression" dxfId="60" priority="38" stopIfTrue="1">
      <formula>IF(AND(E20="",$C20=$X$4),TRUE)</formula>
    </cfRule>
    <cfRule type="expression" dxfId="59" priority="39" stopIfTrue="1">
      <formula>IF(FIND("!",E20),TRUE)</formula>
    </cfRule>
  </conditionalFormatting>
  <conditionalFormatting sqref="F20">
    <cfRule type="expression" dxfId="58" priority="36" stopIfTrue="1">
      <formula>IF(AND(LEN($A20)&gt;0,$A20&lt;&gt;$F20),TRUE,FALSE)</formula>
    </cfRule>
  </conditionalFormatting>
  <conditionalFormatting sqref="C20">
    <cfRule type="expression" dxfId="57" priority="35" stopIfTrue="1">
      <formula>IF(AND(B20&lt;&gt;"",C20=""),TRUE)</formula>
    </cfRule>
  </conditionalFormatting>
  <conditionalFormatting sqref="B5:B18">
    <cfRule type="expression" dxfId="56" priority="32" stopIfTrue="1">
      <formula>IF(B5="",TRUE)</formula>
    </cfRule>
    <cfRule type="expression" dxfId="55" priority="32" stopIfTrue="1">
      <formula>IF(AND(COUNTIF(MetalSmelter,B5&amp;C5)=0,LEN(C5)&gt;0), TRUE, FALSE)</formula>
    </cfRule>
  </conditionalFormatting>
  <conditionalFormatting sqref="D5:D18">
    <cfRule type="expression" dxfId="54" priority="31" stopIfTrue="1">
      <formula>IF(AND(D5="",$C5=$U$4),TRUE)</formula>
    </cfRule>
    <cfRule type="expression" dxfId="53" priority="93" stopIfTrue="1">
      <formula>IF(FIND("!",D5),TRUE)</formula>
    </cfRule>
  </conditionalFormatting>
  <conditionalFormatting sqref="G5:G18">
    <cfRule type="expression" dxfId="52" priority="33" stopIfTrue="1">
      <formula>IF(FIND("Enter smelter details",G5),TRUE)</formula>
    </cfRule>
  </conditionalFormatting>
  <conditionalFormatting sqref="E5:E18">
    <cfRule type="expression" dxfId="51" priority="28" stopIfTrue="1">
      <formula>IF(AND(E5="",$C5=$U$4),TRUE)</formula>
    </cfRule>
    <cfRule type="expression" dxfId="50" priority="29" stopIfTrue="1">
      <formula>IF(FIND("!",E5),TRUE)</formula>
    </cfRule>
  </conditionalFormatting>
  <conditionalFormatting sqref="F5:F18">
    <cfRule type="expression" dxfId="49" priority="26" stopIfTrue="1">
      <formula>IF(AND(LEN($A5)&gt;0,$A5&lt;&gt;$F5),TRUE,FALSE)</formula>
    </cfRule>
  </conditionalFormatting>
  <conditionalFormatting sqref="C5:C18">
    <cfRule type="expression" dxfId="48" priority="25" stopIfTrue="1">
      <formula>IF(AND(B5&lt;&gt;"",C5=""),TRUE)</formula>
    </cfRule>
  </conditionalFormatting>
  <conditionalFormatting sqref="C5">
    <cfRule type="expression" dxfId="47" priority="24" stopIfTrue="1">
      <formula>IF(AND(B5&lt;&gt;"",C5=""),TRUE)</formula>
    </cfRule>
  </conditionalFormatting>
  <conditionalFormatting sqref="D5">
    <cfRule type="expression" dxfId="46" priority="22" stopIfTrue="1">
      <formula>IF(AND(D5="",$C5=$U$4),TRUE)</formula>
    </cfRule>
    <cfRule type="expression" dxfId="45" priority="23" stopIfTrue="1">
      <formula>IF(FIND("!",D5),TRUE)</formula>
    </cfRule>
  </conditionalFormatting>
  <conditionalFormatting sqref="G5">
    <cfRule type="expression" dxfId="44" priority="21" stopIfTrue="1">
      <formula>IF(FIND("Enter smelter details",G5),TRUE)</formula>
    </cfRule>
  </conditionalFormatting>
  <conditionalFormatting sqref="E5">
    <cfRule type="expression" dxfId="43" priority="19" stopIfTrue="1">
      <formula>IF(AND(E5="",$C5=$U$4),TRUE)</formula>
    </cfRule>
    <cfRule type="expression" dxfId="42" priority="20" stopIfTrue="1">
      <formula>IF(FIND("!",E5),TRUE)</formula>
    </cfRule>
  </conditionalFormatting>
  <conditionalFormatting sqref="C6">
    <cfRule type="expression" dxfId="41" priority="18" stopIfTrue="1">
      <formula>IF(AND(B6&lt;&gt;"",C6=""),TRUE)</formula>
    </cfRule>
  </conditionalFormatting>
  <conditionalFormatting sqref="D6">
    <cfRule type="expression" dxfId="40" priority="16" stopIfTrue="1">
      <formula>IF(AND(D6="",$C6=$U$4),TRUE)</formula>
    </cfRule>
    <cfRule type="expression" dxfId="39" priority="17" stopIfTrue="1">
      <formula>IF(FIND("!",D6),TRUE)</formula>
    </cfRule>
  </conditionalFormatting>
  <conditionalFormatting sqref="G6">
    <cfRule type="expression" dxfId="38" priority="15" stopIfTrue="1">
      <formula>IF(FIND("Enter smelter details",G6),TRUE)</formula>
    </cfRule>
  </conditionalFormatting>
  <conditionalFormatting sqref="E6">
    <cfRule type="expression" dxfId="37" priority="13" stopIfTrue="1">
      <formula>IF(AND(E6="",$C6=$U$4),TRUE)</formula>
    </cfRule>
    <cfRule type="expression" dxfId="36" priority="14" stopIfTrue="1">
      <formula>IF(FIND("!",E6),TRUE)</formula>
    </cfRule>
  </conditionalFormatting>
  <conditionalFormatting sqref="C7">
    <cfRule type="expression" dxfId="35" priority="12" stopIfTrue="1">
      <formula>IF(AND(B7&lt;&gt;"",C7=""),TRUE)</formula>
    </cfRule>
  </conditionalFormatting>
  <conditionalFormatting sqref="D7">
    <cfRule type="expression" dxfId="34" priority="10" stopIfTrue="1">
      <formula>IF(AND(D7="",$C7=$U$4),TRUE)</formula>
    </cfRule>
    <cfRule type="expression" dxfId="33" priority="11" stopIfTrue="1">
      <formula>IF(FIND("!",D7),TRUE)</formula>
    </cfRule>
  </conditionalFormatting>
  <conditionalFormatting sqref="G7">
    <cfRule type="expression" dxfId="32" priority="9" stopIfTrue="1">
      <formula>IF(FIND("Enter smelter details",G7),TRUE)</formula>
    </cfRule>
  </conditionalFormatting>
  <conditionalFormatting sqref="E7">
    <cfRule type="expression" dxfId="31" priority="7" stopIfTrue="1">
      <formula>IF(AND(E7="",$C7=$U$4),TRUE)</formula>
    </cfRule>
    <cfRule type="expression" dxfId="30" priority="8" stopIfTrue="1">
      <formula>IF(FIND("!",E7),TRUE)</formula>
    </cfRule>
  </conditionalFormatting>
  <conditionalFormatting sqref="C8:C18">
    <cfRule type="expression" dxfId="29" priority="6" stopIfTrue="1">
      <formula>IF(AND(B8&lt;&gt;"",C8=""),TRUE)</formula>
    </cfRule>
  </conditionalFormatting>
  <conditionalFormatting sqref="D8:D18">
    <cfRule type="expression" dxfId="28" priority="4" stopIfTrue="1">
      <formula>IF(AND(D8="",$C8=$U$4),TRUE)</formula>
    </cfRule>
    <cfRule type="expression" dxfId="27" priority="5" stopIfTrue="1">
      <formula>IF(FIND("!",D8),TRUE)</formula>
    </cfRule>
  </conditionalFormatting>
  <conditionalFormatting sqref="G8:G18">
    <cfRule type="expression" dxfId="26" priority="3" stopIfTrue="1">
      <formula>IF(FIND("Enter smelter details",G8),TRUE)</formula>
    </cfRule>
  </conditionalFormatting>
  <conditionalFormatting sqref="E8:E18">
    <cfRule type="expression" dxfId="25" priority="1" stopIfTrue="1">
      <formula>IF(AND(E8="",$C8=$U$4),TRUE)</formula>
    </cfRule>
    <cfRule type="expression" dxfId="24" priority="2" stopIfTrue="1">
      <formula>IF(FIND("!",E8),TRUE)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Bird Electronic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Michael Simpson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msimpson@birdrf.com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440-519-2040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Michael Simpson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msimpson@birdrf.com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44095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c r="A2" s="29"/>
      <c r="B2" s="147"/>
      <c r="C2" s="147"/>
      <c r="D2"/>
      <c r="E2" s="30"/>
    </row>
    <row r="3" spans="1:6">
      <c r="A3" s="29"/>
      <c r="B3" s="147"/>
      <c r="C3" s="147"/>
      <c r="D3" s="147"/>
      <c r="E3" s="30"/>
    </row>
    <row r="4" spans="1:6" ht="15.75" customHeight="1">
      <c r="A4" s="29"/>
      <c r="B4" s="448" t="s">
        <v>921</v>
      </c>
      <c r="C4" s="448"/>
      <c r="D4" s="448"/>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1" t="str">
        <f ca="1">OFFSET(L!$C$1,MATCH("General"&amp;"Cpy",L!$A:$A,0)-1,SL,,)</f>
        <v>© 2020 Responsible Minerals Initiative. All rights reserved.</v>
      </c>
      <c r="C1001" s="451"/>
      <c r="D1001" s="451"/>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Simpson</cp:lastModifiedBy>
  <cp:lastPrinted>2015-04-21T20:47:43Z</cp:lastPrinted>
  <dcterms:created xsi:type="dcterms:W3CDTF">2010-06-21T21:00:23Z</dcterms:created>
  <dcterms:modified xsi:type="dcterms:W3CDTF">2020-09-22T13:40:30Z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