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irdrf-my.sharepoint.com/personal/bodhner_bird-technologies_com/Documents/Documents/Reference/"/>
    </mc:Choice>
  </mc:AlternateContent>
  <xr:revisionPtr revIDLastSave="16" documentId="8_{B6420155-25B9-419B-BB7F-AE18932D46AE}" xr6:coauthVersionLast="47" xr6:coauthVersionMax="47" xr10:uidLastSave="{9F22B34E-92FC-40C4-B890-1B5177591AF7}"/>
  <workbookProtection workbookAlgorithmName="SHA-512" workbookHashValue="FJrwZPfasUEkRhXwu/9mTmiVfRBCBp6z1Rz9KcfXKK7bHyr+O0xYsNCGGRm81+/xf1YpcZHCu39Rtn7AB+zVPA==" workbookSaltValue="0zALIku9lv1IkJFj379o9w==" workbookSpinCount="100000" lockStructure="1"/>
  <bookViews>
    <workbookView xWindow="-28920" yWindow="-990" windowWidth="29040" windowHeight="15720" tabRatio="785" xr2:uid="{00000000-000D-0000-FFFF-FFFF00000000}"/>
  </bookViews>
  <sheets>
    <sheet name="Home" sheetId="30" r:id="rId1"/>
    <sheet name="Power" sheetId="18" r:id="rId2"/>
    <sheet name="VSWR &amp; RL" sheetId="2" r:id="rId3"/>
    <sheet name="Freq &amp; Wave" sheetId="25" r:id="rId4"/>
    <sheet name="Atten" sheetId="3" r:id="rId5"/>
    <sheet name="Directivity" sheetId="33" r:id="rId6"/>
    <sheet name="Cable Loss" sheetId="32" r:id="rId7"/>
    <sheet name="Masking Effect" sheetId="34" r:id="rId8"/>
    <sheet name="Field Strength" sheetId="35" r:id="rId9"/>
    <sheet name="Free Space Loss" sheetId="36" r:id="rId10"/>
    <sheet name="Metric" sheetId="19" r:id="rId11"/>
    <sheet name="Pulse Power" sheetId="37" r:id="rId12"/>
  </sheets>
  <definedNames>
    <definedName name="_xlnm.Print_Area" localSheetId="0">Home!$A$1:$F$19</definedName>
    <definedName name="solver_adj" localSheetId="6" hidden="1">'Cable Loss'!#REF!</definedName>
    <definedName name="solver_adj" localSheetId="5" hidden="1">Directivity!#REF!</definedName>
    <definedName name="solver_adj" localSheetId="8" hidden="1">'Field Strength'!#REF!</definedName>
    <definedName name="solver_adj" localSheetId="9" hidden="1">'Free Space Loss'!#REF!</definedName>
    <definedName name="solver_adj" localSheetId="3" hidden="1">'Freq &amp; Wave'!#REF!</definedName>
    <definedName name="solver_adj" localSheetId="0" hidden="1">Home!#REF!</definedName>
    <definedName name="solver_adj" localSheetId="7" hidden="1">'Masking Effect'!#REF!</definedName>
    <definedName name="solver_adj" localSheetId="10" hidden="1">Metric!#REF!</definedName>
    <definedName name="solver_adj" localSheetId="1" hidden="1">Power!#REF!</definedName>
    <definedName name="solver_adj" localSheetId="2" hidden="1">'VSWR &amp; RL'!#REF!</definedName>
    <definedName name="solver_cvg" localSheetId="6" hidden="1">0.0001</definedName>
    <definedName name="solver_cvg" localSheetId="5" hidden="1">0.0001</definedName>
    <definedName name="solver_cvg" localSheetId="8" hidden="1">0.0001</definedName>
    <definedName name="solver_cvg" localSheetId="9" hidden="1">0.0001</definedName>
    <definedName name="solver_cvg" localSheetId="3" hidden="1">0.0001</definedName>
    <definedName name="solver_cvg" localSheetId="0" hidden="1">0.0001</definedName>
    <definedName name="solver_cvg" localSheetId="7" hidden="1">0.0001</definedName>
    <definedName name="solver_cvg" localSheetId="10" hidden="1">0.0001</definedName>
    <definedName name="solver_cvg" localSheetId="1" hidden="1">0.0001</definedName>
    <definedName name="solver_cvg" localSheetId="2" hidden="1">0.0001</definedName>
    <definedName name="solver_drv" localSheetId="6" hidden="1">1</definedName>
    <definedName name="solver_drv" localSheetId="5" hidden="1">1</definedName>
    <definedName name="solver_drv" localSheetId="8" hidden="1">1</definedName>
    <definedName name="solver_drv" localSheetId="9" hidden="1">1</definedName>
    <definedName name="solver_drv" localSheetId="3" hidden="1">1</definedName>
    <definedName name="solver_drv" localSheetId="0" hidden="1">1</definedName>
    <definedName name="solver_drv" localSheetId="7" hidden="1">1</definedName>
    <definedName name="solver_drv" localSheetId="10" hidden="1">1</definedName>
    <definedName name="solver_drv" localSheetId="1" hidden="1">1</definedName>
    <definedName name="solver_drv" localSheetId="2" hidden="1">1</definedName>
    <definedName name="solver_est" localSheetId="6" hidden="1">1</definedName>
    <definedName name="solver_est" localSheetId="5" hidden="1">1</definedName>
    <definedName name="solver_est" localSheetId="8" hidden="1">1</definedName>
    <definedName name="solver_est" localSheetId="9" hidden="1">1</definedName>
    <definedName name="solver_est" localSheetId="3" hidden="1">1</definedName>
    <definedName name="solver_est" localSheetId="0" hidden="1">1</definedName>
    <definedName name="solver_est" localSheetId="7" hidden="1">1</definedName>
    <definedName name="solver_est" localSheetId="10" hidden="1">1</definedName>
    <definedName name="solver_est" localSheetId="1" hidden="1">1</definedName>
    <definedName name="solver_est" localSheetId="2" hidden="1">1</definedName>
    <definedName name="solver_itr" localSheetId="6" hidden="1">100</definedName>
    <definedName name="solver_itr" localSheetId="5" hidden="1">100</definedName>
    <definedName name="solver_itr" localSheetId="8" hidden="1">100</definedName>
    <definedName name="solver_itr" localSheetId="9" hidden="1">100</definedName>
    <definedName name="solver_itr" localSheetId="3" hidden="1">100</definedName>
    <definedName name="solver_itr" localSheetId="0" hidden="1">100</definedName>
    <definedName name="solver_itr" localSheetId="7" hidden="1">100</definedName>
    <definedName name="solver_itr" localSheetId="10" hidden="1">100</definedName>
    <definedName name="solver_itr" localSheetId="1" hidden="1">100</definedName>
    <definedName name="solver_itr" localSheetId="2" hidden="1">100</definedName>
    <definedName name="solver_lin" localSheetId="6" hidden="1">2</definedName>
    <definedName name="solver_lin" localSheetId="5" hidden="1">2</definedName>
    <definedName name="solver_lin" localSheetId="8" hidden="1">2</definedName>
    <definedName name="solver_lin" localSheetId="9" hidden="1">2</definedName>
    <definedName name="solver_lin" localSheetId="3" hidden="1">2</definedName>
    <definedName name="solver_lin" localSheetId="0" hidden="1">2</definedName>
    <definedName name="solver_lin" localSheetId="7" hidden="1">2</definedName>
    <definedName name="solver_lin" localSheetId="10" hidden="1">2</definedName>
    <definedName name="solver_lin" localSheetId="1" hidden="1">2</definedName>
    <definedName name="solver_lin" localSheetId="2" hidden="1">2</definedName>
    <definedName name="solver_neg" localSheetId="6" hidden="1">2</definedName>
    <definedName name="solver_neg" localSheetId="5" hidden="1">2</definedName>
    <definedName name="solver_neg" localSheetId="8" hidden="1">2</definedName>
    <definedName name="solver_neg" localSheetId="9" hidden="1">2</definedName>
    <definedName name="solver_neg" localSheetId="3" hidden="1">2</definedName>
    <definedName name="solver_neg" localSheetId="0" hidden="1">2</definedName>
    <definedName name="solver_neg" localSheetId="7" hidden="1">2</definedName>
    <definedName name="solver_neg" localSheetId="10" hidden="1">2</definedName>
    <definedName name="solver_neg" localSheetId="1" hidden="1">2</definedName>
    <definedName name="solver_neg" localSheetId="2" hidden="1">2</definedName>
    <definedName name="solver_num" localSheetId="6" hidden="1">0</definedName>
    <definedName name="solver_num" localSheetId="5" hidden="1">0</definedName>
    <definedName name="solver_num" localSheetId="8" hidden="1">0</definedName>
    <definedName name="solver_num" localSheetId="9" hidden="1">0</definedName>
    <definedName name="solver_num" localSheetId="3" hidden="1">0</definedName>
    <definedName name="solver_num" localSheetId="0" hidden="1">0</definedName>
    <definedName name="solver_num" localSheetId="7" hidden="1">0</definedName>
    <definedName name="solver_num" localSheetId="10" hidden="1">0</definedName>
    <definedName name="solver_num" localSheetId="1" hidden="1">0</definedName>
    <definedName name="solver_num" localSheetId="2" hidden="1">0</definedName>
    <definedName name="solver_nwt" localSheetId="6" hidden="1">1</definedName>
    <definedName name="solver_nwt" localSheetId="5" hidden="1">1</definedName>
    <definedName name="solver_nwt" localSheetId="8" hidden="1">1</definedName>
    <definedName name="solver_nwt" localSheetId="9" hidden="1">1</definedName>
    <definedName name="solver_nwt" localSheetId="3" hidden="1">1</definedName>
    <definedName name="solver_nwt" localSheetId="0" hidden="1">1</definedName>
    <definedName name="solver_nwt" localSheetId="7" hidden="1">1</definedName>
    <definedName name="solver_nwt" localSheetId="10" hidden="1">1</definedName>
    <definedName name="solver_nwt" localSheetId="1" hidden="1">1</definedName>
    <definedName name="solver_nwt" localSheetId="2" hidden="1">1</definedName>
    <definedName name="solver_opt" localSheetId="6" hidden="1">'Cable Loss'!#REF!</definedName>
    <definedName name="solver_opt" localSheetId="5" hidden="1">Directivity!#REF!</definedName>
    <definedName name="solver_opt" localSheetId="8" hidden="1">'Field Strength'!#REF!</definedName>
    <definedName name="solver_opt" localSheetId="9" hidden="1">'Free Space Loss'!#REF!</definedName>
    <definedName name="solver_opt" localSheetId="3" hidden="1">'Freq &amp; Wave'!#REF!</definedName>
    <definedName name="solver_opt" localSheetId="0" hidden="1">Home!#REF!</definedName>
    <definedName name="solver_opt" localSheetId="7" hidden="1">'Masking Effect'!#REF!</definedName>
    <definedName name="solver_opt" localSheetId="10" hidden="1">Metric!#REF!</definedName>
    <definedName name="solver_opt" localSheetId="1" hidden="1">Power!#REF!</definedName>
    <definedName name="solver_opt" localSheetId="2" hidden="1">'VSWR &amp; RL'!#REF!</definedName>
    <definedName name="solver_pre" localSheetId="6" hidden="1">0.000001</definedName>
    <definedName name="solver_pre" localSheetId="5" hidden="1">0.000001</definedName>
    <definedName name="solver_pre" localSheetId="8" hidden="1">0.000001</definedName>
    <definedName name="solver_pre" localSheetId="9" hidden="1">0.000001</definedName>
    <definedName name="solver_pre" localSheetId="3" hidden="1">0.000001</definedName>
    <definedName name="solver_pre" localSheetId="0" hidden="1">0.000001</definedName>
    <definedName name="solver_pre" localSheetId="7" hidden="1">0.000001</definedName>
    <definedName name="solver_pre" localSheetId="10" hidden="1">0.000001</definedName>
    <definedName name="solver_pre" localSheetId="1" hidden="1">0.000001</definedName>
    <definedName name="solver_pre" localSheetId="2" hidden="1">0.000001</definedName>
    <definedName name="solver_scl" localSheetId="6" hidden="1">2</definedName>
    <definedName name="solver_scl" localSheetId="5" hidden="1">2</definedName>
    <definedName name="solver_scl" localSheetId="8" hidden="1">2</definedName>
    <definedName name="solver_scl" localSheetId="9" hidden="1">2</definedName>
    <definedName name="solver_scl" localSheetId="3" hidden="1">2</definedName>
    <definedName name="solver_scl" localSheetId="0" hidden="1">2</definedName>
    <definedName name="solver_scl" localSheetId="7" hidden="1">2</definedName>
    <definedName name="solver_scl" localSheetId="10" hidden="1">2</definedName>
    <definedName name="solver_scl" localSheetId="1" hidden="1">2</definedName>
    <definedName name="solver_scl" localSheetId="2" hidden="1">2</definedName>
    <definedName name="solver_sho" localSheetId="6" hidden="1">2</definedName>
    <definedName name="solver_sho" localSheetId="5" hidden="1">2</definedName>
    <definedName name="solver_sho" localSheetId="8" hidden="1">2</definedName>
    <definedName name="solver_sho" localSheetId="9" hidden="1">2</definedName>
    <definedName name="solver_sho" localSheetId="3" hidden="1">2</definedName>
    <definedName name="solver_sho" localSheetId="0" hidden="1">2</definedName>
    <definedName name="solver_sho" localSheetId="7" hidden="1">2</definedName>
    <definedName name="solver_sho" localSheetId="10" hidden="1">2</definedName>
    <definedName name="solver_sho" localSheetId="1" hidden="1">2</definedName>
    <definedName name="solver_sho" localSheetId="2" hidden="1">2</definedName>
    <definedName name="solver_tim" localSheetId="6" hidden="1">100</definedName>
    <definedName name="solver_tim" localSheetId="5" hidden="1">100</definedName>
    <definedName name="solver_tim" localSheetId="8" hidden="1">100</definedName>
    <definedName name="solver_tim" localSheetId="9" hidden="1">100</definedName>
    <definedName name="solver_tim" localSheetId="3" hidden="1">100</definedName>
    <definedName name="solver_tim" localSheetId="0" hidden="1">100</definedName>
    <definedName name="solver_tim" localSheetId="7" hidden="1">100</definedName>
    <definedName name="solver_tim" localSheetId="10" hidden="1">100</definedName>
    <definedName name="solver_tim" localSheetId="1" hidden="1">100</definedName>
    <definedName name="solver_tim" localSheetId="2" hidden="1">100</definedName>
    <definedName name="solver_tol" localSheetId="6" hidden="1">0.05</definedName>
    <definedName name="solver_tol" localSheetId="5" hidden="1">0.05</definedName>
    <definedName name="solver_tol" localSheetId="8" hidden="1">0.05</definedName>
    <definedName name="solver_tol" localSheetId="9" hidden="1">0.05</definedName>
    <definedName name="solver_tol" localSheetId="3" hidden="1">0.05</definedName>
    <definedName name="solver_tol" localSheetId="0" hidden="1">0.05</definedName>
    <definedName name="solver_tol" localSheetId="7" hidden="1">0.05</definedName>
    <definedName name="solver_tol" localSheetId="10" hidden="1">0.05</definedName>
    <definedName name="solver_tol" localSheetId="1" hidden="1">0.05</definedName>
    <definedName name="solver_tol" localSheetId="2" hidden="1">0.05</definedName>
    <definedName name="solver_typ" localSheetId="6" hidden="1">3</definedName>
    <definedName name="solver_typ" localSheetId="5" hidden="1">3</definedName>
    <definedName name="solver_typ" localSheetId="8" hidden="1">3</definedName>
    <definedName name="solver_typ" localSheetId="9" hidden="1">3</definedName>
    <definedName name="solver_typ" localSheetId="3" hidden="1">3</definedName>
    <definedName name="solver_typ" localSheetId="0" hidden="1">3</definedName>
    <definedName name="solver_typ" localSheetId="7" hidden="1">3</definedName>
    <definedName name="solver_typ" localSheetId="10" hidden="1">3</definedName>
    <definedName name="solver_typ" localSheetId="1" hidden="1">3</definedName>
    <definedName name="solver_typ" localSheetId="2" hidden="1">3</definedName>
    <definedName name="solver_val" localSheetId="6" hidden="1">1.3</definedName>
    <definedName name="solver_val" localSheetId="5" hidden="1">1.3</definedName>
    <definedName name="solver_val" localSheetId="8" hidden="1">1.3</definedName>
    <definedName name="solver_val" localSheetId="9" hidden="1">1.3</definedName>
    <definedName name="solver_val" localSheetId="3" hidden="1">1.3</definedName>
    <definedName name="solver_val" localSheetId="0" hidden="1">1.3</definedName>
    <definedName name="solver_val" localSheetId="7" hidden="1">1.3</definedName>
    <definedName name="solver_val" localSheetId="10" hidden="1">1.3</definedName>
    <definedName name="solver_val" localSheetId="1" hidden="1">1.3</definedName>
    <definedName name="solver_val" localSheetId="2" hidden="1">1.3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7" l="1"/>
  <c r="C23" i="37" s="1"/>
  <c r="C25" i="37" s="1"/>
  <c r="H25" i="37"/>
  <c r="H23" i="37"/>
  <c r="H24" i="37" s="1"/>
  <c r="F10" i="37"/>
  <c r="F9" i="37" s="1"/>
  <c r="F8" i="37" s="1"/>
  <c r="D9" i="3"/>
  <c r="I9" i="3"/>
  <c r="D10" i="3"/>
  <c r="I10" i="3"/>
  <c r="I11" i="3" s="1"/>
  <c r="D15" i="3"/>
  <c r="I16" i="3"/>
  <c r="I17" i="3"/>
  <c r="I18" i="3" s="1"/>
  <c r="D18" i="3"/>
  <c r="D13" i="32"/>
  <c r="D16" i="32"/>
  <c r="D19" i="32"/>
  <c r="D22" i="32"/>
  <c r="D26" i="33"/>
  <c r="D27" i="33"/>
  <c r="D28" i="33"/>
  <c r="D29" i="33"/>
  <c r="D32" i="33"/>
  <c r="D33" i="33"/>
  <c r="D50" i="33"/>
  <c r="D53" i="33" s="1"/>
  <c r="D18" i="33" s="1"/>
  <c r="D56" i="33"/>
  <c r="D21" i="33" s="1"/>
  <c r="D10" i="35"/>
  <c r="D11" i="35"/>
  <c r="D12" i="35"/>
  <c r="D15" i="35"/>
  <c r="D14" i="35" s="1"/>
  <c r="D9" i="36"/>
  <c r="D14" i="36"/>
  <c r="E9" i="25"/>
  <c r="E8" i="25" s="1"/>
  <c r="E11" i="25"/>
  <c r="E14" i="25" s="1"/>
  <c r="D9" i="34"/>
  <c r="D14" i="34"/>
  <c r="D20" i="34"/>
  <c r="D21" i="34" s="1"/>
  <c r="D22" i="34"/>
  <c r="D23" i="34"/>
  <c r="D24" i="34" s="1"/>
  <c r="D25" i="34"/>
  <c r="H13" i="19"/>
  <c r="H16" i="19" s="1"/>
  <c r="C14" i="19"/>
  <c r="C16" i="19" s="1"/>
  <c r="C11" i="19"/>
  <c r="H24" i="19"/>
  <c r="H25" i="19" s="1"/>
  <c r="C27" i="19"/>
  <c r="C30" i="19" s="1"/>
  <c r="C42" i="19"/>
  <c r="C39" i="19" s="1"/>
  <c r="D8" i="18"/>
  <c r="D13" i="18"/>
  <c r="D10" i="18" s="1"/>
  <c r="H8" i="2"/>
  <c r="H9" i="2"/>
  <c r="D10" i="2"/>
  <c r="H10" i="2"/>
  <c r="D11" i="2"/>
  <c r="H11" i="2"/>
  <c r="D12" i="2"/>
  <c r="D9" i="2" s="1"/>
  <c r="D16" i="2"/>
  <c r="D19" i="2"/>
  <c r="D11" i="3"/>
  <c r="C10" i="19"/>
  <c r="C13" i="19"/>
  <c r="H26" i="19"/>
  <c r="H27" i="19"/>
  <c r="D27" i="34" l="1"/>
  <c r="D26" i="34"/>
  <c r="D28" i="34" s="1"/>
  <c r="C15" i="19"/>
  <c r="H10" i="19"/>
  <c r="C26" i="19"/>
  <c r="C40" i="19"/>
  <c r="C12" i="19"/>
  <c r="C25" i="19"/>
  <c r="C29" i="19"/>
  <c r="H15" i="19"/>
  <c r="C45" i="19"/>
  <c r="H12" i="19"/>
  <c r="D13" i="35"/>
  <c r="H14" i="19"/>
  <c r="H11" i="19"/>
  <c r="D26" i="32"/>
  <c r="D29" i="34"/>
  <c r="D30" i="34" s="1"/>
  <c r="D31" i="34"/>
  <c r="E12" i="25"/>
  <c r="C28" i="19"/>
  <c r="C41" i="19"/>
  <c r="E13" i="25"/>
  <c r="C43" i="19"/>
  <c r="C24" i="19"/>
  <c r="C44" i="19"/>
  <c r="D31" i="33"/>
  <c r="D35" i="33" s="1"/>
  <c r="D39" i="33" s="1"/>
  <c r="D45" i="33" s="1"/>
  <c r="E10" i="25"/>
  <c r="D30" i="33"/>
  <c r="D34" i="33" s="1"/>
  <c r="D14" i="18"/>
  <c r="D12" i="18"/>
  <c r="D11" i="18"/>
  <c r="D9" i="18"/>
  <c r="H26" i="37"/>
  <c r="H27" i="37" s="1"/>
  <c r="C28" i="37"/>
  <c r="C27" i="37"/>
  <c r="C24" i="37"/>
  <c r="F11" i="37"/>
  <c r="D40" i="33" l="1"/>
  <c r="D47" i="33" s="1"/>
  <c r="D14" i="33" s="1"/>
  <c r="D38" i="33"/>
  <c r="D43" i="33" s="1"/>
  <c r="D49" i="33" s="1"/>
  <c r="D52" i="33" s="1"/>
  <c r="D17" i="33" s="1"/>
  <c r="D37" i="33"/>
  <c r="D41" i="33" s="1"/>
  <c r="D46" i="33"/>
  <c r="D15" i="33" s="1"/>
  <c r="D13" i="33"/>
  <c r="H28" i="37"/>
  <c r="D55" i="33" l="1"/>
  <c r="D20" i="33" s="1"/>
  <c r="D51" i="33"/>
  <c r="D54" i="33" s="1"/>
  <c r="D19" i="33" s="1"/>
  <c r="D48" i="33"/>
  <c r="D16" i="33" s="1"/>
  <c r="D10" i="33"/>
  <c r="D44" i="33"/>
  <c r="D12" i="33" s="1"/>
  <c r="D9" i="33"/>
  <c r="D42" i="33"/>
  <c r="D11" i="33" s="1"/>
  <c r="D57" i="33"/>
  <c r="D22" i="33" s="1"/>
  <c r="I9" i="37" l="1"/>
  <c r="I10" i="37" l="1"/>
  <c r="I8" i="37"/>
  <c r="I11" i="37" l="1"/>
  <c r="I14" i="37"/>
  <c r="I13" i="37" l="1"/>
  <c r="I12" i="37" s="1"/>
  <c r="C9" i="37"/>
  <c r="C10" i="37" s="1"/>
  <c r="I15" i="37"/>
</calcChain>
</file>

<file path=xl/sharedStrings.xml><?xml version="1.0" encoding="utf-8"?>
<sst xmlns="http://schemas.openxmlformats.org/spreadsheetml/2006/main" count="743" uniqueCount="322">
  <si>
    <t>Enter</t>
  </si>
  <si>
    <t>Calculates</t>
  </si>
  <si>
    <t>VSWR</t>
  </si>
  <si>
    <t>Return Loss</t>
  </si>
  <si>
    <t>Match Efficiency</t>
  </si>
  <si>
    <t>Rho</t>
  </si>
  <si>
    <t>Forward Power</t>
  </si>
  <si>
    <t>Reflected Power</t>
  </si>
  <si>
    <t>dB</t>
  </si>
  <si>
    <t>%</t>
  </si>
  <si>
    <t>Input Power</t>
  </si>
  <si>
    <t>Watts</t>
  </si>
  <si>
    <t>Power</t>
  </si>
  <si>
    <t>Attenuation</t>
  </si>
  <si>
    <t>dBm</t>
  </si>
  <si>
    <t>Output Power</t>
  </si>
  <si>
    <t xml:space="preserve"> </t>
  </si>
  <si>
    <t>Output Power (dBm) = Input Power (dBm) - Attenuation (dB)</t>
  </si>
  <si>
    <t>VSWR = Voltage Standing Wave Ratio</t>
  </si>
  <si>
    <t>Power (dBm) = 10 x Log [ Power (Watts) ] + 30 dB</t>
  </si>
  <si>
    <t>Attenuation Calculator</t>
  </si>
  <si>
    <t>Power Calculator</t>
  </si>
  <si>
    <t>Pf = Forward Power (Watts)</t>
  </si>
  <si>
    <t>Pr = Reflected Power (Watts)</t>
  </si>
  <si>
    <t>Rho = Sqrt ( Pr / Pf )</t>
  </si>
  <si>
    <t>Return Loss (dB) = 10 x Log ( Pr / Pf )</t>
  </si>
  <si>
    <t>Kilowatts (kW)</t>
  </si>
  <si>
    <t>Watts (W)</t>
  </si>
  <si>
    <t>Milliwatts (mW)</t>
  </si>
  <si>
    <t>Microwatts (uW)</t>
  </si>
  <si>
    <t>Nanowatts (nW)</t>
  </si>
  <si>
    <t>Frequency =</t>
  </si>
  <si>
    <t>Wavelength =</t>
  </si>
  <si>
    <t>Kilohertz (kHz)</t>
  </si>
  <si>
    <t>Megahertz (MHz)</t>
  </si>
  <si>
    <t>Gigahertz (GHz)</t>
  </si>
  <si>
    <t>Meters (m)</t>
  </si>
  <si>
    <t>Centimeters (cm)</t>
  </si>
  <si>
    <t>Feet (ft)</t>
  </si>
  <si>
    <t>Inches (in)</t>
  </si>
  <si>
    <t>Power =</t>
  </si>
  <si>
    <t>1 MHz = 1,000 kHz     1 GHz = 1,000 MHz</t>
  </si>
  <si>
    <t>Wavelength (Meters) = 300 / Frequency (MHz)</t>
  </si>
  <si>
    <t>Frequency &amp; Wavelength Calculator</t>
  </si>
  <si>
    <t>Picowatts (pW)</t>
  </si>
  <si>
    <t>1 W = 1,000,000,000 nW = 1,000,000,000,000 pW</t>
  </si>
  <si>
    <t>1 kW = 1,000 W     1 W = 1,000 mW = 1,000,000 uW</t>
  </si>
  <si>
    <t>Length</t>
  </si>
  <si>
    <t>Area</t>
  </si>
  <si>
    <t>Volume</t>
  </si>
  <si>
    <t>=</t>
  </si>
  <si>
    <t>Yards (yd)</t>
  </si>
  <si>
    <t>Miles (mi)</t>
  </si>
  <si>
    <t>Kilometers (km)</t>
  </si>
  <si>
    <t>Temperature</t>
  </si>
  <si>
    <t>Kilograms (kg)</t>
  </si>
  <si>
    <t>Pounds (lb)</t>
  </si>
  <si>
    <t>Ounces (oz)</t>
  </si>
  <si>
    <t>Grams (g)</t>
  </si>
  <si>
    <t>Square cm</t>
  </si>
  <si>
    <t>Square in</t>
  </si>
  <si>
    <t>Square m</t>
  </si>
  <si>
    <t>Square mi</t>
  </si>
  <si>
    <t>Square km</t>
  </si>
  <si>
    <t>Cubic Ft (cu ft)</t>
  </si>
  <si>
    <t>Cubic M (cu m)</t>
  </si>
  <si>
    <t>Fluid Oz (fl oz)</t>
  </si>
  <si>
    <t>Square ft</t>
  </si>
  <si>
    <t>Weight</t>
  </si>
  <si>
    <t>1 in = 2.54 cm     1 m = 3.28 ft     1 mi = 1.6 km</t>
  </si>
  <si>
    <t>R = F + 459.69     K = C + 273.15</t>
  </si>
  <si>
    <t>Metric Conversions</t>
  </si>
  <si>
    <t>C = 5/9 (F - 32)</t>
  </si>
  <si>
    <t>1 sq in = 6.45 sq cm     1 sq m = 10.76 sq ft</t>
  </si>
  <si>
    <t>1 gal = 3.8 liters     1 cu m = 35.3 cu ft</t>
  </si>
  <si>
    <t>Acres</t>
  </si>
  <si>
    <t>Milliliters (ml)</t>
  </si>
  <si>
    <t>Liters (l)</t>
  </si>
  <si>
    <t>Gallons (gal)</t>
  </si>
  <si>
    <t>1 sq mi = 2.6 sq km</t>
  </si>
  <si>
    <t>Tonnes (t)</t>
  </si>
  <si>
    <t>Hundredwt (cwt)</t>
  </si>
  <si>
    <t>Tons (ton)</t>
  </si>
  <si>
    <t>1 oz = 28.35 g     1 kg = 2.2 lb     1 t = 1.1 ton</t>
  </si>
  <si>
    <t>Quarts (qt)</t>
  </si>
  <si>
    <t>1 fl oz = 29.6 ml     1 liter = 1.06 qt</t>
  </si>
  <si>
    <t>Return Loss (dB)</t>
  </si>
  <si>
    <t>Match Efficiency (%)</t>
  </si>
  <si>
    <t>VSWR &amp; Return Loss Calculator</t>
  </si>
  <si>
    <t>VSWR = [1+Sqrt(Pr / Pf)] / [1-Sqrt(Pr / Pf)]</t>
  </si>
  <si>
    <t>Match Efficiency (%) = 100% x (1 - Pr / Pf)</t>
  </si>
  <si>
    <t>Fahrenheit (F)</t>
  </si>
  <si>
    <t>Celsius (C)</t>
  </si>
  <si>
    <t>Rankine (R)</t>
  </si>
  <si>
    <t>Kelvin (K)</t>
  </si>
  <si>
    <t>Forward Voltage</t>
  </si>
  <si>
    <t>Reflected Voltage</t>
  </si>
  <si>
    <t>Volts</t>
  </si>
  <si>
    <t>Forward Voltage Maximum</t>
  </si>
  <si>
    <t>Forward Voltage Minimum</t>
  </si>
  <si>
    <t>Reflected Voltage Maximum</t>
  </si>
  <si>
    <t>Reflected Voltage Minimum</t>
  </si>
  <si>
    <t>Forward Power Maximum</t>
  </si>
  <si>
    <t>Forward Power Minimum</t>
  </si>
  <si>
    <t>Reflected Power Maximum</t>
  </si>
  <si>
    <t>Reflected Power Minimum</t>
  </si>
  <si>
    <t>Given</t>
  </si>
  <si>
    <t>VSWR Maximum</t>
  </si>
  <si>
    <t>VSWR Minimum</t>
  </si>
  <si>
    <t>Return Loss Maximum</t>
  </si>
  <si>
    <t>Return Loss Minimum</t>
  </si>
  <si>
    <t>VSWR = (1 + Rho) / (1 - Rho)</t>
  </si>
  <si>
    <t>Rho Maximum</t>
  </si>
  <si>
    <t>Rho Minimum</t>
  </si>
  <si>
    <t>Pf = Forward Power</t>
  </si>
  <si>
    <t>Pr = Reflected Power</t>
  </si>
  <si>
    <t>Vf (Max) = Vf + Vfd</t>
  </si>
  <si>
    <t>Vf (Min) = Vf - Vfd</t>
  </si>
  <si>
    <t>Vr (Max) = Vr + Vrd</t>
  </si>
  <si>
    <t>Pf (Max) = (Vf (Max) ^ 2) / 50 Ohms</t>
  </si>
  <si>
    <t>Pf (Min) = (Vf (Min) ^ 2) / 50 Ohms</t>
  </si>
  <si>
    <t>Pr (Max) = (Vr (Max) ^ 2) / 50 Ohms</t>
  </si>
  <si>
    <t>Pr (Min) = (Vr (Min) ^ 2) / 50 Ohms</t>
  </si>
  <si>
    <t>VSWR (Max) = (1 + Rho (Max)) / (1 - Rho (Max))</t>
  </si>
  <si>
    <t>VSWR (Min) = (1 + Rho (Min)) / (1 - Rho (Min))</t>
  </si>
  <si>
    <t>Return Loss (Max) = 10 x Log (Pr (Max) / Pf (Min))</t>
  </si>
  <si>
    <t>Return Loss (Min) = 10 x Log (Pr (Min) / Pf (Max))</t>
  </si>
  <si>
    <t>Rho = Sqrt (Pr / Pf)</t>
  </si>
  <si>
    <t>Rho (Max) = Sqrt (Pr (Max) / Pf (Min))</t>
  </si>
  <si>
    <t>Rho (Min) = Sqrt (Pr (Min) / Pf (Max))</t>
  </si>
  <si>
    <t>Directivity of Coupler</t>
  </si>
  <si>
    <t xml:space="preserve">Directivity is a measure of the ability of a </t>
  </si>
  <si>
    <t>transmission system.</t>
  </si>
  <si>
    <t>directional coupler to discern between the</t>
  </si>
  <si>
    <t>Directivity errors result in measurements</t>
  </si>
  <si>
    <t>which may vary between maximum and</t>
  </si>
  <si>
    <t>The following is a step-by-step procedure to calculate the results which are displayed above:</t>
  </si>
  <si>
    <t>Forward Power Max Error</t>
  </si>
  <si>
    <t>Forward Power Min Error</t>
  </si>
  <si>
    <t>Reflected Power Max Error</t>
  </si>
  <si>
    <t>Reflected Power Min Error</t>
  </si>
  <si>
    <t>Cable Insertion Loss</t>
  </si>
  <si>
    <t>Directivity Error Calculator</t>
  </si>
  <si>
    <t>CL = Cable Insertion Loss</t>
  </si>
  <si>
    <t>Pfa (Watts) = 10 ^ ((Pfa (dBm) - 30) / 10)</t>
  </si>
  <si>
    <t>Pra (Watts) = 10 ^ ((Pra (dBm) - 30) / 10)</t>
  </si>
  <si>
    <t>VSWRa = (1 + Rhoa) / (1 - Rhoa)</t>
  </si>
  <si>
    <t>RLa = 10 x Log (Pra / Pfa)</t>
  </si>
  <si>
    <t>VSWR of Antenna</t>
  </si>
  <si>
    <t>Return Loss of Antenna</t>
  </si>
  <si>
    <t>Rho of Antenna</t>
  </si>
  <si>
    <t>Rhoa = Rho of Antenna = Sqrt (Pra / Pfa)</t>
  </si>
  <si>
    <t>VSWR at Transmitter</t>
  </si>
  <si>
    <t>Return Loss at Transmitter</t>
  </si>
  <si>
    <t>RLt = Return Loss at Transmitter</t>
  </si>
  <si>
    <t>RLa = Return Loss of Antenna = RLt - (2 x CL)</t>
  </si>
  <si>
    <t>Forward Power at Transmitter</t>
  </si>
  <si>
    <t>Reflected Power at Transmitter</t>
  </si>
  <si>
    <t>Rho at Transmitter</t>
  </si>
  <si>
    <t>Pft = Forward Power at Transmitter</t>
  </si>
  <si>
    <t>Prt = Reflected Power at Transmitter</t>
  </si>
  <si>
    <t>Rhot = Sqrt (Prt / Pft)</t>
  </si>
  <si>
    <t>VSWRt = (1 + Rhot) / (1 - Rhot)</t>
  </si>
  <si>
    <t>RLt = 10 x Log (Prt / Pft)</t>
  </si>
  <si>
    <t>Pft (dBm) = 10 x Log (Pft (Watts)) + 30 dB</t>
  </si>
  <si>
    <t>Pfa (dBm) = Pft (dBm) + CL</t>
  </si>
  <si>
    <t>Prt (dBm) = 10 x Log (Prt (Watts)) + 30 dB</t>
  </si>
  <si>
    <t>Pra (dBm) = Prt (dBm) - CL</t>
  </si>
  <si>
    <t>will be masked by the cable loss.</t>
  </si>
  <si>
    <t>Antenna measurements taken</t>
  </si>
  <si>
    <t>at the transmitter end of the cable</t>
  </si>
  <si>
    <t>Forward Power at Antenna</t>
  </si>
  <si>
    <t>Reflected Power at Antenna</t>
  </si>
  <si>
    <t>Dir = Directivity of Coupler</t>
  </si>
  <si>
    <t>Directivity Power Ratio</t>
  </si>
  <si>
    <t>Directivity Power Ratio = 10 ^ (Dir / 10)</t>
  </si>
  <si>
    <t>Pfd = Pr / Directivity Power Ratio</t>
  </si>
  <si>
    <t>Prd = Pf / Directivity Power Ratio</t>
  </si>
  <si>
    <t>Return Loss = 10 x Log ( Pr / Pf )</t>
  </si>
  <si>
    <t>forward and reflected traveling wave in a</t>
  </si>
  <si>
    <t>Directivity Forward Power</t>
  </si>
  <si>
    <t>Directivity Reflected Power</t>
  </si>
  <si>
    <t>Directivity Forward Voltage</t>
  </si>
  <si>
    <t>Directivity Reflected Voltage</t>
  </si>
  <si>
    <t>Vf = Sqrt (Pf x 50 Ohms)</t>
  </si>
  <si>
    <t>Vr = Sqrt (Pr x 50 Ohms)</t>
  </si>
  <si>
    <t>Vfd = Sqrt (Pfd x 50 Ohms)</t>
  </si>
  <si>
    <t>Vrd = Sqrt (Prd x 50 Ohms)</t>
  </si>
  <si>
    <t>Error = 100% x (Pf (Max) - Pf) / Pf</t>
  </si>
  <si>
    <t>Error = 100% x (Pf (Min) - Pf) / Pf</t>
  </si>
  <si>
    <t>Error = 100% x (Pr (Max) - Pr) / Pr</t>
  </si>
  <si>
    <t>Error = 100% x (Pr (Min) - Pr) / Pr</t>
  </si>
  <si>
    <t>Vr (Min) = Vr - Vrd (or 0 if Vrd &gt; Vr)</t>
  </si>
  <si>
    <t>Note, voltage vectors add when in phase or subtract when 180 degrees out of phase with each other</t>
  </si>
  <si>
    <t>Enter directivity, forward power and reflected power to determine directivity errors.</t>
  </si>
  <si>
    <t>Enter frequency or wavelength and select units to determine equivalent values.</t>
  </si>
  <si>
    <t>Enter power and select units to determine equivalent values.</t>
  </si>
  <si>
    <t>Enter quantity and select units to determine equivalent values.</t>
  </si>
  <si>
    <t>Enter power or attenuation to determine values.</t>
  </si>
  <si>
    <t>Enter cable loss and match or forward and reflected power to determine the masking effect.</t>
  </si>
  <si>
    <t>Enter forward and reflected power or match to determine equivalent values.</t>
  </si>
  <si>
    <t>RF Calculators</t>
  </si>
  <si>
    <t>Power meters, antenna monitors and</t>
  </si>
  <si>
    <t>analyzers are coupler based test</t>
  </si>
  <si>
    <t>equipment which are used to measure</t>
  </si>
  <si>
    <t>forward and reflected power as well as</t>
  </si>
  <si>
    <t>VSWR and return loss.</t>
  </si>
  <si>
    <t>minimum values.</t>
  </si>
  <si>
    <t>Select a calculator tab at the bottom of this page for assistance with your radio frequency (RF) needs.</t>
  </si>
  <si>
    <t>Calculators available include Power, VSWR &amp; Return Loss, Frequency &amp; Wavelength,</t>
  </si>
  <si>
    <t>Cable Length (m or ft)</t>
  </si>
  <si>
    <t>m or ft</t>
  </si>
  <si>
    <t>Cable Loss</t>
  </si>
  <si>
    <t>Transmission Cable Insertion Loss</t>
  </si>
  <si>
    <t>Loss per Connector</t>
  </si>
  <si>
    <t>Number of Connectors</t>
  </si>
  <si>
    <t>Connector Loss</t>
  </si>
  <si>
    <t>Lightning Protection Loss</t>
  </si>
  <si>
    <t>VSWR/Power Monitor Loss</t>
  </si>
  <si>
    <t>Loss of Combiner, Duplexer, Filter, etc.</t>
  </si>
  <si>
    <t>Two Connectors per Pair</t>
  </si>
  <si>
    <t>Connector Insertion Loss</t>
  </si>
  <si>
    <t>Lightning Protection Insertion Loss</t>
  </si>
  <si>
    <t>Transmission Cable System Insertion Loss</t>
  </si>
  <si>
    <t>Total Cable System Loss</t>
  </si>
  <si>
    <t>Top Jumper Loss</t>
  </si>
  <si>
    <t>VSWR/Power Monitor Insertion Loss</t>
  </si>
  <si>
    <t>Bottom Jumper Loss/100 m or ft</t>
  </si>
  <si>
    <t>Cable Loss/100 m or ft</t>
  </si>
  <si>
    <t>Top Jumper Loss/100 m or ft</t>
  </si>
  <si>
    <t>Top Jumper Length (m or ft)</t>
  </si>
  <si>
    <t>Bottom Jumper Length (m or ft)</t>
  </si>
  <si>
    <t>Bottom Jumper Loss</t>
  </si>
  <si>
    <t>Top/Antenna Jumper Cable Insertion Loss</t>
  </si>
  <si>
    <t>Bottom/Tx Jumper Cable Insertion Loss</t>
  </si>
  <si>
    <t>Cable loss is the total insertion loss of your transmission cable system.</t>
  </si>
  <si>
    <t>This typically includes insertion loss of the transmission cable, jumper cables, connectors and lightning protection.</t>
  </si>
  <si>
    <t>Other Component Loss</t>
  </si>
  <si>
    <t>Cable Loss Calculator</t>
  </si>
  <si>
    <t>Loss of other components (e.g. VSWR/power monitor, duplexer, combiner or filter) may also come into play.</t>
  </si>
  <si>
    <t>Masking Effect Calculator</t>
  </si>
  <si>
    <t>Loss per 100 Meters or Feet at Frequency</t>
  </si>
  <si>
    <t>Length in Meters or Feet</t>
  </si>
  <si>
    <t>Enter cable, jumper, connector and other loss parameters to determine transmission cable system insertion loss.</t>
  </si>
  <si>
    <t>Signal Level</t>
  </si>
  <si>
    <t>Frequency</t>
  </si>
  <si>
    <t>MHz</t>
  </si>
  <si>
    <t>dBuV</t>
  </si>
  <si>
    <t>Antenna Factor</t>
  </si>
  <si>
    <t>Field Strength Calculator</t>
  </si>
  <si>
    <t>dBuV/m</t>
  </si>
  <si>
    <t>Field Strength</t>
  </si>
  <si>
    <t>uV/m</t>
  </si>
  <si>
    <t>V/m</t>
  </si>
  <si>
    <t>mV/m</t>
  </si>
  <si>
    <t>Antenna Factor (dB) = 20 Log (Frequency (MHz)) - Antenna Gain (dB) -29.8</t>
  </si>
  <si>
    <t>Signal Level (dBuV) = Signal Level (dBm) + 107 dB</t>
  </si>
  <si>
    <t>Signal Level (dBuV/m) = Signal Level (dBuV) + Antenna Factor (dB)</t>
  </si>
  <si>
    <t>1 V/m = 1,000 mV/m = 1,000,000 uVm</t>
  </si>
  <si>
    <t>Field Strength (uV/m) = 10 ^ (Signal Level (dBuV/m) / 20)</t>
  </si>
  <si>
    <t>Distance</t>
  </si>
  <si>
    <t>Miles</t>
  </si>
  <si>
    <t>Kilometers</t>
  </si>
  <si>
    <t>1 Mile = 1.6093 Kilometers</t>
  </si>
  <si>
    <t>Field Strength, Free Space Loss and Metric Conversions.</t>
  </si>
  <si>
    <t>Free Space Loss Calculator</t>
  </si>
  <si>
    <t>Enter frequency and distance to determine free space loss.</t>
  </si>
  <si>
    <t>Free Space Loss is the power loss of a</t>
  </si>
  <si>
    <t>radio signal as it travels through free space.</t>
  </si>
  <si>
    <t>Free Space Loss</t>
  </si>
  <si>
    <t>Free Space Loss (dB) = 36.6 + 20 x Log (Frequency (MHz) x Distance (Miles))</t>
  </si>
  <si>
    <t>Losses due to sources such as earth, trees,</t>
  </si>
  <si>
    <t>antenna gains are not considered.</t>
  </si>
  <si>
    <t xml:space="preserve">buildings, cables and connectors as well as </t>
  </si>
  <si>
    <t>The field strength of the signal emitted</t>
  </si>
  <si>
    <t>in units of microvolts per meter (uV/m).</t>
  </si>
  <si>
    <t>by a radio antenna is usually expressed</t>
  </si>
  <si>
    <t>Receive Antenna Gain</t>
  </si>
  <si>
    <t>Signal Power Level</t>
  </si>
  <si>
    <t>Enter signal power level, frequency and antenna gain to determine field strength.</t>
  </si>
  <si>
    <t>This may be calculated if the signal power</t>
  </si>
  <si>
    <t>level (dBm), frequency and the gain of the</t>
  </si>
  <si>
    <t>receive antenna are known.</t>
  </si>
  <si>
    <t>Duty Cycle Caluclations</t>
  </si>
  <si>
    <t>Pulse Width</t>
  </si>
  <si>
    <t>PRF/PRI</t>
  </si>
  <si>
    <t>Pulse Width:</t>
  </si>
  <si>
    <t>uS</t>
  </si>
  <si>
    <t>Seconds (S)</t>
  </si>
  <si>
    <t>Hertz (Hz)</t>
  </si>
  <si>
    <t>microSeconds (uS)</t>
  </si>
  <si>
    <t>kiloHertz (kHz)</t>
  </si>
  <si>
    <t>milliSeconds (mS)</t>
  </si>
  <si>
    <t>Duty Factor:</t>
  </si>
  <si>
    <t>MegaHertz (MHz)</t>
  </si>
  <si>
    <t>Duty Cycle:</t>
  </si>
  <si>
    <t>nanoSeconds (nS)</t>
  </si>
  <si>
    <t>GigaHertz (GHz)</t>
  </si>
  <si>
    <t>Average Power Calculations</t>
  </si>
  <si>
    <t>PRF or PRI:</t>
  </si>
  <si>
    <t>[From Pulse Width and Pulse Repetition Frequency (PRF) or Pulse Repetition Intreval (PRI)]</t>
  </si>
  <si>
    <t>[From Duty Cycle and Peak Power or Peak Voltage]</t>
  </si>
  <si>
    <t>Duty Cycle</t>
  </si>
  <si>
    <t>Peak Voltage</t>
  </si>
  <si>
    <t>Peak Power</t>
  </si>
  <si>
    <t>W (Peak Power)</t>
  </si>
  <si>
    <t>V (Peak Voltage)</t>
  </si>
  <si>
    <t>Average Power</t>
  </si>
  <si>
    <t>W</t>
  </si>
  <si>
    <t>Average Voltage</t>
  </si>
  <si>
    <t xml:space="preserve">V  </t>
  </si>
  <si>
    <t>Peak  Power</t>
  </si>
  <si>
    <t>V</t>
  </si>
  <si>
    <t>Peak W or V</t>
  </si>
  <si>
    <t>Peak Power Calculations</t>
  </si>
  <si>
    <t>[From Duty Cycle and Average Power or Average Voltage]</t>
  </si>
  <si>
    <t>Average W or V</t>
  </si>
  <si>
    <t>V (Average Voltage)</t>
  </si>
  <si>
    <t>W (Average Power)</t>
  </si>
  <si>
    <t>Pulse Power Calculator</t>
  </si>
  <si>
    <t>Bird | The RF Experts        www.birdrf.com  | 866.695.4569</t>
  </si>
  <si>
    <t>Attenuation, Directivity, Cable Loss, Masking Effect, Pulse Power,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</si>
</sst>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000"/>
    <numFmt numFmtId="165" formatCode="0.000"/>
    <numFmt numFmtId="166" formatCode="#,##0.000"/>
    <numFmt numFmtId="167" formatCode="0.0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7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u/>
      <sz val="14"/>
      <color indexed="9"/>
      <name val="Arial Black"/>
      <family val="2"/>
    </font>
    <font>
      <b/>
      <sz val="14"/>
      <color indexed="9"/>
      <name val="Arial Black"/>
      <family val="2"/>
    </font>
    <font>
      <b/>
      <i/>
      <sz val="10"/>
      <name val="Arial"/>
      <family val="2"/>
    </font>
    <font>
      <sz val="14"/>
      <color theme="0"/>
      <name val="Arial Black"/>
      <family val="2"/>
    </font>
    <font>
      <sz val="20"/>
      <name val="Arial"/>
      <family val="2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166" fontId="1" fillId="0" borderId="1" xfId="0" applyNumberFormat="1" applyFont="1" applyBorder="1" applyProtection="1">
      <protection locked="0" hidden="1"/>
    </xf>
    <xf numFmtId="166" fontId="0" fillId="0" borderId="1" xfId="0" applyNumberFormat="1" applyBorder="1" applyProtection="1">
      <protection locked="0" hidden="1"/>
    </xf>
    <xf numFmtId="2" fontId="0" fillId="0" borderId="2" xfId="0" applyNumberFormat="1" applyBorder="1" applyProtection="1">
      <protection locked="0" hidden="1"/>
    </xf>
    <xf numFmtId="2" fontId="0" fillId="0" borderId="3" xfId="0" applyNumberFormat="1" applyBorder="1" applyProtection="1">
      <protection locked="0" hidden="1"/>
    </xf>
    <xf numFmtId="2" fontId="1" fillId="0" borderId="1" xfId="0" applyNumberFormat="1" applyFont="1" applyBorder="1" applyProtection="1">
      <protection locked="0" hidden="1"/>
    </xf>
    <xf numFmtId="2" fontId="1" fillId="0" borderId="2" xfId="0" applyNumberFormat="1" applyFont="1" applyBorder="1" applyProtection="1">
      <protection locked="0" hidden="1"/>
    </xf>
    <xf numFmtId="2" fontId="1" fillId="0" borderId="3" xfId="0" applyNumberFormat="1" applyFont="1" applyBorder="1" applyProtection="1">
      <protection locked="0" hidden="1"/>
    </xf>
    <xf numFmtId="0" fontId="0" fillId="2" borderId="0" xfId="0" applyFill="1" applyProtection="1">
      <protection hidden="1"/>
    </xf>
    <xf numFmtId="0" fontId="7" fillId="2" borderId="0" xfId="1" applyFill="1" applyAlignment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/>
      <protection hidden="1"/>
    </xf>
    <xf numFmtId="2" fontId="1" fillId="2" borderId="0" xfId="0" applyNumberFormat="1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2" fontId="2" fillId="2" borderId="0" xfId="0" applyNumberFormat="1" applyFont="1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7" fillId="2" borderId="0" xfId="1" applyFill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166" fontId="0" fillId="2" borderId="0" xfId="0" applyNumberFormat="1" applyFill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locked="0" hidden="1"/>
    </xf>
    <xf numFmtId="166" fontId="1" fillId="2" borderId="0" xfId="0" applyNumberFormat="1" applyFont="1" applyFill="1" applyProtection="1">
      <protection hidden="1"/>
    </xf>
    <xf numFmtId="166" fontId="3" fillId="2" borderId="0" xfId="0" applyNumberFormat="1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16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locked="0" hidden="1"/>
    </xf>
    <xf numFmtId="2" fontId="0" fillId="2" borderId="0" xfId="0" applyNumberFormat="1" applyFill="1" applyProtection="1">
      <protection hidden="1"/>
    </xf>
    <xf numFmtId="0" fontId="0" fillId="2" borderId="0" xfId="0" applyFill="1"/>
    <xf numFmtId="0" fontId="6" fillId="2" borderId="0" xfId="0" applyFont="1" applyFill="1" applyAlignment="1" applyProtection="1">
      <alignment horizontal="center"/>
      <protection hidden="1"/>
    </xf>
    <xf numFmtId="2" fontId="6" fillId="2" borderId="0" xfId="0" applyNumberFormat="1" applyFont="1" applyFill="1" applyProtection="1">
      <protection hidden="1"/>
    </xf>
    <xf numFmtId="165" fontId="0" fillId="0" borderId="4" xfId="0" applyNumberFormat="1" applyBorder="1" applyProtection="1">
      <protection locked="0" hidden="1"/>
    </xf>
    <xf numFmtId="165" fontId="0" fillId="0" borderId="3" xfId="0" applyNumberFormat="1" applyBorder="1" applyProtection="1">
      <protection locked="0" hidden="1"/>
    </xf>
    <xf numFmtId="165" fontId="0" fillId="0" borderId="2" xfId="0" applyNumberFormat="1" applyBorder="1" applyProtection="1">
      <protection locked="0" hidden="1"/>
    </xf>
    <xf numFmtId="165" fontId="1" fillId="2" borderId="0" xfId="0" applyNumberFormat="1" applyFont="1" applyFill="1" applyProtection="1">
      <protection hidden="1"/>
    </xf>
    <xf numFmtId="165" fontId="0" fillId="2" borderId="0" xfId="0" applyNumberFormat="1" applyFill="1" applyProtection="1">
      <protection hidden="1"/>
    </xf>
    <xf numFmtId="2" fontId="0" fillId="0" borderId="4" xfId="0" applyNumberFormat="1" applyBorder="1" applyProtection="1">
      <protection locked="0" hidden="1"/>
    </xf>
    <xf numFmtId="3" fontId="1" fillId="2" borderId="0" xfId="0" applyNumberFormat="1" applyFont="1" applyFill="1" applyProtection="1">
      <protection hidden="1"/>
    </xf>
    <xf numFmtId="165" fontId="1" fillId="2" borderId="0" xfId="0" applyNumberFormat="1" applyFont="1" applyFill="1" applyAlignment="1" applyProtection="1">
      <alignment horizontal="right"/>
      <protection hidden="1"/>
    </xf>
    <xf numFmtId="165" fontId="1" fillId="0" borderId="1" xfId="0" applyNumberFormat="1" applyFont="1" applyBorder="1" applyProtection="1">
      <protection locked="0" hidden="1"/>
    </xf>
    <xf numFmtId="0" fontId="9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2" fontId="1" fillId="2" borderId="0" xfId="0" applyNumberFormat="1" applyFont="1" applyFill="1" applyAlignment="1" applyProtection="1">
      <alignment horizontal="right"/>
      <protection hidden="1"/>
    </xf>
    <xf numFmtId="1" fontId="0" fillId="0" borderId="3" xfId="0" applyNumberFormat="1" applyBorder="1" applyProtection="1">
      <protection locked="0" hidden="1"/>
    </xf>
    <xf numFmtId="0" fontId="6" fillId="2" borderId="0" xfId="0" applyFont="1" applyFill="1" applyAlignment="1">
      <alignment horizontal="center"/>
    </xf>
    <xf numFmtId="166" fontId="0" fillId="0" borderId="2" xfId="0" applyNumberFormat="1" applyBorder="1" applyProtection="1">
      <protection locked="0" hidden="1"/>
    </xf>
    <xf numFmtId="166" fontId="0" fillId="0" borderId="4" xfId="0" applyNumberFormat="1" applyBorder="1" applyProtection="1">
      <protection locked="0" hidden="1"/>
    </xf>
    <xf numFmtId="166" fontId="0" fillId="0" borderId="3" xfId="0" applyNumberFormat="1" applyBorder="1" applyProtection="1">
      <protection locked="0" hidden="1"/>
    </xf>
    <xf numFmtId="0" fontId="0" fillId="3" borderId="0" xfId="0" applyFill="1"/>
    <xf numFmtId="0" fontId="11" fillId="3" borderId="0" xfId="0" applyFont="1" applyFill="1"/>
    <xf numFmtId="0" fontId="12" fillId="3" borderId="0" xfId="0" applyFont="1" applyFill="1"/>
    <xf numFmtId="0" fontId="3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1" fillId="3" borderId="0" xfId="0" applyFont="1" applyFill="1"/>
    <xf numFmtId="167" fontId="0" fillId="3" borderId="0" xfId="0" applyNumberFormat="1" applyFill="1" applyProtection="1">
      <protection hidden="1"/>
    </xf>
    <xf numFmtId="10" fontId="0" fillId="3" borderId="0" xfId="0" applyNumberFormat="1" applyFill="1" applyProtection="1">
      <protection hidden="1"/>
    </xf>
    <xf numFmtId="0" fontId="3" fillId="3" borderId="0" xfId="0" applyFont="1" applyFill="1"/>
    <xf numFmtId="0" fontId="1" fillId="0" borderId="1" xfId="0" applyFont="1" applyBorder="1" applyProtection="1">
      <protection locked="0" hidden="1"/>
    </xf>
    <xf numFmtId="2" fontId="0" fillId="3" borderId="0" xfId="0" applyNumberFormat="1" applyFill="1"/>
    <xf numFmtId="0" fontId="0" fillId="0" borderId="1" xfId="0" applyBorder="1" applyProtection="1">
      <protection locked="0"/>
    </xf>
    <xf numFmtId="0" fontId="4" fillId="3" borderId="0" xfId="0" applyFont="1" applyFill="1" applyAlignment="1" applyProtection="1">
      <alignment horizontal="center"/>
      <protection hidden="1"/>
    </xf>
    <xf numFmtId="0" fontId="13" fillId="3" borderId="0" xfId="0" applyFont="1" applyFill="1"/>
    <xf numFmtId="0" fontId="1" fillId="4" borderId="1" xfId="0" applyFont="1" applyFill="1" applyBorder="1" applyProtection="1">
      <protection locked="0" hidden="1"/>
    </xf>
    <xf numFmtId="0" fontId="0" fillId="4" borderId="1" xfId="0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7" dropStyle="combo" dx="16" fmlaLink="$E$7" fmlaRange="$E$8:$E$14" sel="6" val="0"/>
</file>

<file path=xl/ctrlProps/ctrlProp2.xml><?xml version="1.0" encoding="utf-8"?>
<formControlPr xmlns="http://schemas.microsoft.com/office/spreadsheetml/2009/9/main" objectType="Drop" dropLines="4" dropStyle="combo" dx="16" fmlaLink="$I$7" fmlaRange="$I$8:$I$11" sel="1" val="0"/>
</file>

<file path=xl/ctrlProps/ctrlProp3.xml><?xml version="1.0" encoding="utf-8"?>
<formControlPr xmlns="http://schemas.microsoft.com/office/spreadsheetml/2009/9/main" objectType="Drop" dropLines="7" dropStyle="combo" dx="16" fmlaLink="$F$7" fmlaRange="$F$8:$F$14" sel="2" val="0"/>
</file>

<file path=xl/ctrlProps/ctrlProp4.xml><?xml version="1.0" encoding="utf-8"?>
<formControlPr xmlns="http://schemas.microsoft.com/office/spreadsheetml/2009/9/main" objectType="Drop" dropLines="7" dropStyle="combo" dx="16" fmlaLink="$D$9" fmlaRange="$D$10:$D$16" sel="7" val="0"/>
</file>

<file path=xl/ctrlProps/ctrlProp5.xml><?xml version="1.0" encoding="utf-8"?>
<formControlPr xmlns="http://schemas.microsoft.com/office/spreadsheetml/2009/9/main" objectType="Drop" dropLines="7" dropStyle="combo" dx="16" fmlaLink="$I$9" fmlaRange="$I$10:$I$16" sel="4" val="0"/>
</file>

<file path=xl/ctrlProps/ctrlProp6.xml><?xml version="1.0" encoding="utf-8"?>
<formControlPr xmlns="http://schemas.microsoft.com/office/spreadsheetml/2009/9/main" objectType="Drop" dropLines="7" dropStyle="combo" dx="16" fmlaLink="$D$23" fmlaRange="$D$24:$D$30" sel="4" val="0"/>
</file>

<file path=xl/ctrlProps/ctrlProp7.xml><?xml version="1.0" encoding="utf-8"?>
<formControlPr xmlns="http://schemas.microsoft.com/office/spreadsheetml/2009/9/main" objectType="Drop" dropLines="4" dropStyle="combo" dx="16" fmlaLink="$I$23" fmlaRange="$I$24:$I$27" sel="2" val="0"/>
</file>

<file path=xl/ctrlProps/ctrlProp8.xml><?xml version="1.0" encoding="utf-8"?>
<formControlPr xmlns="http://schemas.microsoft.com/office/spreadsheetml/2009/9/main" objectType="Drop" dropLines="7" dropStyle="combo" dx="16" fmlaLink="$D$38" fmlaRange="$D$39:$D$45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2</xdr:col>
      <xdr:colOff>581025</xdr:colOff>
      <xdr:row>3</xdr:row>
      <xdr:rowOff>0</xdr:rowOff>
    </xdr:to>
    <xdr:pic>
      <xdr:nvPicPr>
        <xdr:cNvPr id="28698" name="Picture 6" descr="BEClogo">
          <a:extLst>
            <a:ext uri="{FF2B5EF4-FFF2-40B4-BE49-F238E27FC236}">
              <a16:creationId xmlns:a16="http://schemas.microsoft.com/office/drawing/2014/main" id="{00000000-0008-0000-0000-00001A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7150" y="66675"/>
          <a:ext cx="9334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876139</xdr:colOff>
      <xdr:row>4</xdr:row>
      <xdr:rowOff>123729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904714</xdr:colOff>
      <xdr:row>3</xdr:row>
      <xdr:rowOff>161829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152400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</xdr:row>
          <xdr:rowOff>152400</xdr:rowOff>
        </xdr:from>
        <xdr:to>
          <xdr:col>9</xdr:col>
          <xdr:colOff>9525</xdr:colOff>
          <xdr:row>9</xdr:row>
          <xdr:rowOff>9525</xdr:rowOff>
        </xdr:to>
        <xdr:sp macro="" textlink="">
          <xdr:nvSpPr>
            <xdr:cNvPr id="12290" name="Drop Dow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A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152400</xdr:rowOff>
        </xdr:from>
        <xdr:to>
          <xdr:col>4</xdr:col>
          <xdr:colOff>9525</xdr:colOff>
          <xdr:row>23</xdr:row>
          <xdr:rowOff>9525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A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152400</xdr:rowOff>
        </xdr:from>
        <xdr:to>
          <xdr:col>9</xdr:col>
          <xdr:colOff>9525</xdr:colOff>
          <xdr:row>23</xdr:row>
          <xdr:rowOff>9525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A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36</xdr:row>
          <xdr:rowOff>152400</xdr:rowOff>
        </xdr:from>
        <xdr:to>
          <xdr:col>4</xdr:col>
          <xdr:colOff>9525</xdr:colOff>
          <xdr:row>38</xdr:row>
          <xdr:rowOff>9525</xdr:rowOff>
        </xdr:to>
        <xdr:sp macro="" textlink="">
          <xdr:nvSpPr>
            <xdr:cNvPr id="12295" name="Drop Dow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A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523714</xdr:colOff>
      <xdr:row>3</xdr:row>
      <xdr:rowOff>161829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647539</xdr:colOff>
      <xdr:row>2</xdr:row>
      <xdr:rowOff>447579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152400</xdr:rowOff>
        </xdr:from>
        <xdr:to>
          <xdr:col>4</xdr:col>
          <xdr:colOff>1076325</xdr:colOff>
          <xdr:row>7</xdr:row>
          <xdr:rowOff>9525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904714</xdr:colOff>
      <xdr:row>3</xdr:row>
      <xdr:rowOff>161829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</xdr:row>
          <xdr:rowOff>152400</xdr:rowOff>
        </xdr:from>
        <xdr:to>
          <xdr:col>9</xdr:col>
          <xdr:colOff>38100</xdr:colOff>
          <xdr:row>7</xdr:row>
          <xdr:rowOff>9525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190339</xdr:colOff>
      <xdr:row>3</xdr:row>
      <xdr:rowOff>161829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</xdr:row>
          <xdr:rowOff>152400</xdr:rowOff>
        </xdr:from>
        <xdr:to>
          <xdr:col>6</xdr:col>
          <xdr:colOff>9525</xdr:colOff>
          <xdr:row>7</xdr:row>
          <xdr:rowOff>9525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904714</xdr:colOff>
      <xdr:row>3</xdr:row>
      <xdr:rowOff>161829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56989</xdr:colOff>
      <xdr:row>3</xdr:row>
      <xdr:rowOff>161829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190339</xdr:colOff>
      <xdr:row>3</xdr:row>
      <xdr:rowOff>161829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190339</xdr:colOff>
      <xdr:row>2</xdr:row>
      <xdr:rowOff>447579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190339</xdr:colOff>
      <xdr:row>2</xdr:row>
      <xdr:rowOff>447579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904714</xdr:colOff>
      <xdr:row>3</xdr:row>
      <xdr:rowOff>161829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714" cy="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C1:E21"/>
  <sheetViews>
    <sheetView tabSelected="1" workbookViewId="0">
      <selection sqref="A1:F19"/>
    </sheetView>
  </sheetViews>
  <sheetFormatPr defaultRowHeight="12.75" x14ac:dyDescent="0.2"/>
  <cols>
    <col min="1" max="1" width="0.85546875" style="8" customWidth="1"/>
    <col min="2" max="2" width="5.28515625" style="8" customWidth="1"/>
    <col min="3" max="4" width="31.7109375" style="19" customWidth="1"/>
    <col min="5" max="5" width="31.7109375" style="8" customWidth="1"/>
    <col min="6" max="6" width="6.7109375" style="8" customWidth="1"/>
    <col min="7" max="7" width="10.7109375" style="8" customWidth="1"/>
    <col min="8" max="9" width="5.7109375" style="8" customWidth="1"/>
    <col min="10" max="16384" width="9.140625" style="8"/>
  </cols>
  <sheetData>
    <row r="1" spans="3:5" x14ac:dyDescent="0.2">
      <c r="D1" s="32" t="s">
        <v>320</v>
      </c>
    </row>
    <row r="2" spans="3:5" x14ac:dyDescent="0.2">
      <c r="D2" s="32"/>
    </row>
    <row r="6" spans="3:5" ht="22.5" x14ac:dyDescent="0.45">
      <c r="D6" s="43" t="s">
        <v>201</v>
      </c>
    </row>
    <row r="7" spans="3:5" x14ac:dyDescent="0.2">
      <c r="C7" s="20"/>
      <c r="D7" s="32"/>
      <c r="E7" s="20"/>
    </row>
    <row r="8" spans="3:5" x14ac:dyDescent="0.2">
      <c r="D8" s="44" t="s">
        <v>208</v>
      </c>
    </row>
    <row r="9" spans="3:5" x14ac:dyDescent="0.2">
      <c r="D9" s="32"/>
    </row>
    <row r="10" spans="3:5" x14ac:dyDescent="0.2">
      <c r="D10" s="32"/>
    </row>
    <row r="11" spans="3:5" x14ac:dyDescent="0.2">
      <c r="D11" s="32"/>
    </row>
    <row r="12" spans="3:5" x14ac:dyDescent="0.2">
      <c r="C12" s="20"/>
      <c r="D12" s="32" t="s">
        <v>209</v>
      </c>
      <c r="E12" s="20"/>
    </row>
    <row r="13" spans="3:5" x14ac:dyDescent="0.2">
      <c r="C13" s="20"/>
      <c r="D13" s="32"/>
      <c r="E13" s="20"/>
    </row>
    <row r="14" spans="3:5" x14ac:dyDescent="0.2">
      <c r="C14" s="20"/>
      <c r="D14" s="32" t="s">
        <v>321</v>
      </c>
      <c r="E14" s="20"/>
    </row>
    <row r="15" spans="3:5" x14ac:dyDescent="0.2">
      <c r="C15" s="20"/>
      <c r="D15" s="8"/>
      <c r="E15" s="19"/>
    </row>
    <row r="16" spans="3:5" x14ac:dyDescent="0.2">
      <c r="D16" s="32" t="s">
        <v>264</v>
      </c>
    </row>
    <row r="17" spans="4:4" x14ac:dyDescent="0.2">
      <c r="D17" s="20"/>
    </row>
    <row r="18" spans="4:4" x14ac:dyDescent="0.2">
      <c r="D18" s="20"/>
    </row>
    <row r="19" spans="4:4" x14ac:dyDescent="0.2">
      <c r="D19" s="20"/>
    </row>
    <row r="20" spans="4:4" x14ac:dyDescent="0.2">
      <c r="D20" s="20"/>
    </row>
    <row r="21" spans="4:4" x14ac:dyDescent="0.2">
      <c r="D21" s="20"/>
    </row>
  </sheetData>
  <sheetProtection algorithmName="SHA-512" hashValue="suQCyNxiwRfAsshR/e2eZ6H8KZa7LAdQsaVWKOCtfQZaq7lCOtEVPw4VHIqMD4QoagsGgMBl/IDsdtq8S4CwLw==" saltValue="W2zkCBYloEI+HpbclPezTQ==" spinCount="100000" sheet="1" objects="1" scenarios="1"/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K18"/>
  <sheetViews>
    <sheetView workbookViewId="0"/>
  </sheetViews>
  <sheetFormatPr defaultRowHeight="12.75" x14ac:dyDescent="0.2"/>
  <cols>
    <col min="1" max="1" width="5.7109375" style="8" customWidth="1"/>
    <col min="2" max="2" width="13.7109375" style="8" customWidth="1"/>
    <col min="3" max="3" width="18.7109375" style="12" customWidth="1"/>
    <col min="4" max="4" width="10.7109375" style="8" customWidth="1"/>
    <col min="5" max="5" width="3.7109375" style="8" customWidth="1"/>
    <col min="6" max="6" width="11.7109375" style="8" customWidth="1"/>
    <col min="7" max="7" width="10.7109375" style="8" customWidth="1"/>
    <col min="8" max="8" width="7.7109375" style="30" customWidth="1"/>
    <col min="9" max="9" width="18.140625" style="8" customWidth="1"/>
    <col min="10" max="10" width="10.7109375" style="8" customWidth="1"/>
    <col min="11" max="11" width="5.7109375" style="8" customWidth="1"/>
    <col min="12" max="16384" width="9.140625" style="8"/>
  </cols>
  <sheetData>
    <row r="1" spans="1:11" x14ac:dyDescent="0.2">
      <c r="B1" s="70" t="s">
        <v>320</v>
      </c>
      <c r="C1" s="70"/>
      <c r="D1" s="70"/>
      <c r="E1" s="70"/>
      <c r="F1" s="70"/>
      <c r="G1" s="70"/>
      <c r="H1" s="70"/>
      <c r="I1" s="70"/>
      <c r="J1" s="32"/>
    </row>
    <row r="2" spans="1:11" x14ac:dyDescent="0.2">
      <c r="B2" s="32"/>
      <c r="C2" s="32"/>
      <c r="D2" s="32"/>
      <c r="E2" s="32"/>
      <c r="F2" s="32"/>
      <c r="G2" s="32"/>
      <c r="H2" s="32"/>
      <c r="I2" s="32"/>
      <c r="J2" s="32"/>
    </row>
    <row r="3" spans="1:11" ht="22.5" x14ac:dyDescent="0.45">
      <c r="A3" s="31"/>
      <c r="B3" s="71" t="s">
        <v>265</v>
      </c>
      <c r="C3" s="71"/>
      <c r="D3" s="71"/>
      <c r="E3" s="71"/>
      <c r="F3" s="71"/>
      <c r="G3" s="71"/>
      <c r="H3" s="71"/>
      <c r="I3" s="71"/>
      <c r="J3" s="43"/>
      <c r="K3" s="27"/>
    </row>
    <row r="4" spans="1:11" x14ac:dyDescent="0.2">
      <c r="A4" s="31"/>
      <c r="B4" s="70" t="s">
        <v>266</v>
      </c>
      <c r="C4" s="70"/>
      <c r="D4" s="70"/>
      <c r="E4" s="70"/>
      <c r="F4" s="70"/>
      <c r="G4" s="70"/>
      <c r="H4" s="70"/>
      <c r="I4" s="70"/>
      <c r="J4" s="32"/>
    </row>
    <row r="5" spans="1:11" x14ac:dyDescent="0.2">
      <c r="A5" s="31"/>
      <c r="B5" s="32"/>
      <c r="C5" s="32"/>
      <c r="D5" s="32"/>
      <c r="E5" s="32"/>
      <c r="F5" s="32"/>
      <c r="G5" s="32"/>
      <c r="H5" s="32"/>
      <c r="I5" s="32"/>
      <c r="J5" s="32"/>
    </row>
    <row r="6" spans="1:11" ht="13.5" thickBot="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</row>
    <row r="7" spans="1:11" x14ac:dyDescent="0.2">
      <c r="B7" s="17" t="s">
        <v>0</v>
      </c>
      <c r="C7" s="12" t="s">
        <v>245</v>
      </c>
      <c r="D7" s="48">
        <v>800</v>
      </c>
      <c r="E7" s="8" t="s">
        <v>246</v>
      </c>
      <c r="G7" s="21" t="s">
        <v>267</v>
      </c>
      <c r="K7" s="16"/>
    </row>
    <row r="8" spans="1:11" ht="13.5" thickBot="1" x14ac:dyDescent="0.25">
      <c r="B8" s="17" t="s">
        <v>0</v>
      </c>
      <c r="C8" s="12" t="s">
        <v>260</v>
      </c>
      <c r="D8" s="50">
        <v>1</v>
      </c>
      <c r="E8" s="8" t="s">
        <v>261</v>
      </c>
      <c r="G8" s="21" t="s">
        <v>268</v>
      </c>
      <c r="K8" s="16"/>
    </row>
    <row r="9" spans="1:11" x14ac:dyDescent="0.2">
      <c r="B9" s="12" t="s">
        <v>1</v>
      </c>
      <c r="C9" s="12" t="s">
        <v>269</v>
      </c>
      <c r="D9" s="22">
        <f>36.6+20*LOG(D7*D8)</f>
        <v>94.66179973983887</v>
      </c>
      <c r="E9" s="8" t="s">
        <v>8</v>
      </c>
    </row>
    <row r="10" spans="1:11" x14ac:dyDescent="0.2">
      <c r="G10" s="21" t="s">
        <v>271</v>
      </c>
    </row>
    <row r="11" spans="1:11" ht="13.5" thickBot="1" x14ac:dyDescent="0.25">
      <c r="G11" s="21" t="s">
        <v>273</v>
      </c>
    </row>
    <row r="12" spans="1:11" x14ac:dyDescent="0.2">
      <c r="B12" s="17" t="s">
        <v>0</v>
      </c>
      <c r="C12" s="12" t="s">
        <v>245</v>
      </c>
      <c r="D12" s="48">
        <v>800</v>
      </c>
      <c r="E12" s="8" t="s">
        <v>246</v>
      </c>
      <c r="G12" s="21" t="s">
        <v>272</v>
      </c>
      <c r="K12" s="16"/>
    </row>
    <row r="13" spans="1:11" ht="13.5" thickBot="1" x14ac:dyDescent="0.25">
      <c r="B13" s="17" t="s">
        <v>0</v>
      </c>
      <c r="C13" s="12" t="s">
        <v>260</v>
      </c>
      <c r="D13" s="50">
        <v>1</v>
      </c>
      <c r="E13" s="8" t="s">
        <v>262</v>
      </c>
      <c r="G13" s="8" t="s">
        <v>16</v>
      </c>
      <c r="K13" s="16"/>
    </row>
    <row r="14" spans="1:11" x14ac:dyDescent="0.2">
      <c r="B14" s="12" t="s">
        <v>1</v>
      </c>
      <c r="C14" s="12" t="s">
        <v>269</v>
      </c>
      <c r="D14" s="22">
        <f>36.6+20*LOG(D12*D13/1.6093)</f>
        <v>90.529059514168154</v>
      </c>
      <c r="E14" s="8" t="s">
        <v>8</v>
      </c>
    </row>
    <row r="17" spans="2:9" x14ac:dyDescent="0.2">
      <c r="B17" s="70" t="s">
        <v>270</v>
      </c>
      <c r="C17" s="70"/>
      <c r="D17" s="70"/>
      <c r="E17" s="70"/>
      <c r="F17" s="70"/>
      <c r="G17" s="70"/>
      <c r="H17" s="70"/>
      <c r="I17" s="70"/>
    </row>
    <row r="18" spans="2:9" x14ac:dyDescent="0.2">
      <c r="B18" s="70" t="s">
        <v>263</v>
      </c>
      <c r="C18" s="70"/>
      <c r="D18" s="70"/>
      <c r="E18" s="70"/>
      <c r="F18" s="70"/>
      <c r="G18" s="70"/>
      <c r="H18" s="70"/>
      <c r="I18" s="70"/>
    </row>
  </sheetData>
  <sheetProtection algorithmName="SHA-512" hashValue="OccILK0KKwVq/XWDmpe0cQWfoc9GmgTX83tq9e6PUScalMdicKqe2woiP00zdXLUAnTfotdtHZ7AVYfF2TK5SQ==" saltValue="8euMr7rxwOdifALCfrTT2A==" spinCount="100000" sheet="1" objects="1" scenarios="1"/>
  <mergeCells count="5">
    <mergeCell ref="B17:I17"/>
    <mergeCell ref="B18:I18"/>
    <mergeCell ref="B1:I1"/>
    <mergeCell ref="B4:I4"/>
    <mergeCell ref="B3:I3"/>
  </mergeCells>
  <phoneticPr fontId="0" type="noConversion"/>
  <dataValidations count="1">
    <dataValidation type="decimal" operator="greaterThanOrEqual" allowBlank="1" showInputMessage="1" showErrorMessage="1" sqref="D7:D8 D12:D13" xr:uid="{00000000-0002-0000-0900-000000000000}">
      <formula1>-200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K48"/>
  <sheetViews>
    <sheetView workbookViewId="0">
      <selection activeCell="K5" sqref="K5"/>
    </sheetView>
  </sheetViews>
  <sheetFormatPr defaultRowHeight="12.75" x14ac:dyDescent="0.2"/>
  <cols>
    <col min="1" max="2" width="5.7109375" style="8" customWidth="1"/>
    <col min="3" max="3" width="15.7109375" style="22" customWidth="1"/>
    <col min="4" max="4" width="15.85546875" style="8" customWidth="1"/>
    <col min="5" max="7" width="5.7109375" style="8" customWidth="1"/>
    <col min="8" max="8" width="15.7109375" style="22" customWidth="1"/>
    <col min="9" max="9" width="15.85546875" style="8" customWidth="1"/>
    <col min="10" max="10" width="9.7109375" style="8" customWidth="1"/>
    <col min="11" max="11" width="5.7109375" style="8" customWidth="1"/>
    <col min="12" max="16384" width="9.140625" style="8"/>
  </cols>
  <sheetData>
    <row r="1" spans="1:11" x14ac:dyDescent="0.2">
      <c r="B1" s="70" t="s">
        <v>320</v>
      </c>
      <c r="C1" s="70"/>
      <c r="D1" s="70"/>
      <c r="E1" s="70"/>
      <c r="F1" s="70"/>
      <c r="G1" s="70"/>
      <c r="H1" s="70"/>
      <c r="I1" s="70"/>
      <c r="J1" s="70"/>
    </row>
    <row r="2" spans="1:11" x14ac:dyDescent="0.2">
      <c r="B2" s="32"/>
      <c r="C2" s="32"/>
      <c r="D2" s="32"/>
      <c r="E2" s="32"/>
      <c r="F2" s="32"/>
      <c r="G2" s="32"/>
      <c r="H2" s="32"/>
      <c r="I2" s="32"/>
      <c r="J2" s="32"/>
    </row>
    <row r="3" spans="1:11" ht="22.5" x14ac:dyDescent="0.45">
      <c r="A3" s="31"/>
      <c r="B3" s="71" t="s">
        <v>71</v>
      </c>
      <c r="C3" s="71"/>
      <c r="D3" s="71"/>
      <c r="E3" s="71"/>
      <c r="F3" s="71"/>
      <c r="G3" s="71"/>
      <c r="H3" s="71"/>
      <c r="I3" s="71"/>
      <c r="J3" s="71"/>
      <c r="K3" s="27"/>
    </row>
    <row r="4" spans="1:11" x14ac:dyDescent="0.2">
      <c r="A4" s="31"/>
      <c r="B4" s="70" t="s">
        <v>197</v>
      </c>
      <c r="C4" s="70"/>
      <c r="D4" s="70"/>
      <c r="E4" s="70"/>
      <c r="F4" s="70"/>
      <c r="G4" s="70"/>
      <c r="H4" s="70"/>
      <c r="I4" s="70"/>
      <c r="J4" s="70"/>
      <c r="K4" s="10"/>
    </row>
    <row r="5" spans="1:11" x14ac:dyDescent="0.2">
      <c r="A5" s="9"/>
      <c r="B5" s="32"/>
      <c r="C5" s="32"/>
      <c r="D5" s="32"/>
      <c r="E5" s="32"/>
      <c r="F5" s="32"/>
      <c r="G5" s="32"/>
      <c r="H5" s="32"/>
      <c r="I5" s="32"/>
      <c r="J5" s="32"/>
      <c r="K5" s="10"/>
    </row>
    <row r="6" spans="1:1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74" t="s">
        <v>47</v>
      </c>
      <c r="C7" s="74"/>
      <c r="D7" s="74"/>
      <c r="E7" s="10"/>
      <c r="F7" s="10"/>
      <c r="G7" s="74" t="s">
        <v>68</v>
      </c>
      <c r="H7" s="74"/>
      <c r="I7" s="74"/>
      <c r="J7" s="10"/>
      <c r="K7" s="10"/>
    </row>
    <row r="8" spans="1:11" ht="13.5" thickBo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B9" s="23" t="s">
        <v>0</v>
      </c>
      <c r="C9" s="1">
        <v>1</v>
      </c>
      <c r="D9" s="24">
        <v>7</v>
      </c>
      <c r="G9" s="23" t="s">
        <v>0</v>
      </c>
      <c r="H9" s="1">
        <v>1</v>
      </c>
      <c r="I9" s="24">
        <v>4</v>
      </c>
    </row>
    <row r="10" spans="1:11" x14ac:dyDescent="0.2">
      <c r="B10" s="11" t="s">
        <v>50</v>
      </c>
      <c r="C10" s="25">
        <f>C14*100</f>
        <v>160934.39999999999</v>
      </c>
      <c r="D10" s="8" t="s">
        <v>37</v>
      </c>
      <c r="G10" s="11" t="s">
        <v>50</v>
      </c>
      <c r="H10" s="25">
        <f>H13*1000</f>
        <v>1000</v>
      </c>
      <c r="I10" s="8" t="s">
        <v>58</v>
      </c>
    </row>
    <row r="11" spans="1:11" x14ac:dyDescent="0.2">
      <c r="B11" s="11" t="s">
        <v>50</v>
      </c>
      <c r="C11" s="25">
        <f>C14*39.3701</f>
        <v>63360.034214400002</v>
      </c>
      <c r="D11" s="8" t="s">
        <v>39</v>
      </c>
      <c r="G11" s="11" t="s">
        <v>50</v>
      </c>
      <c r="H11" s="25">
        <f>H13*35.274</f>
        <v>35.274000000000001</v>
      </c>
      <c r="I11" s="8" t="s">
        <v>57</v>
      </c>
    </row>
    <row r="12" spans="1:11" x14ac:dyDescent="0.2">
      <c r="B12" s="11" t="s">
        <v>50</v>
      </c>
      <c r="C12" s="25">
        <f>C14*3.2808</f>
        <v>5279.9357952</v>
      </c>
      <c r="D12" s="8" t="s">
        <v>38</v>
      </c>
      <c r="E12" s="8" t="s">
        <v>16</v>
      </c>
      <c r="G12" s="11" t="s">
        <v>50</v>
      </c>
      <c r="H12" s="25">
        <f>H13/0.453592</f>
        <v>2.2046244201837775</v>
      </c>
      <c r="I12" s="8" t="s">
        <v>56</v>
      </c>
    </row>
    <row r="13" spans="1:11" s="12" customFormat="1" x14ac:dyDescent="0.2">
      <c r="B13" s="11" t="s">
        <v>50</v>
      </c>
      <c r="C13" s="25">
        <f>C14*1.0936</f>
        <v>1759.9785984</v>
      </c>
      <c r="D13" s="8" t="s">
        <v>51</v>
      </c>
      <c r="G13" s="11" t="s">
        <v>50</v>
      </c>
      <c r="H13" s="25">
        <f>IF(I9=1,H9/1000,IF(I9=2,H9/35.274,IF(I9=3,H9*0.453592,IF(I9=4,H9,IF(I9=5,H9*45.3592,IF(I9=6,H9*907.1847,IF(I9=7,H9*1000)))))))</f>
        <v>1</v>
      </c>
      <c r="I13" s="8" t="s">
        <v>55</v>
      </c>
    </row>
    <row r="14" spans="1:11" x14ac:dyDescent="0.2">
      <c r="B14" s="11" t="s">
        <v>50</v>
      </c>
      <c r="C14" s="25">
        <f>IF(D9=1,C9/100,IF(D9=2,C9/39.3701,IF(D9=3,C9/3.2808,IF(D9=4,C9/1.0936,IF(D9=5,C9,IF(D9=6,C9*1000,IF(D9=7,C9*1609.344)))))))</f>
        <v>1609.3440000000001</v>
      </c>
      <c r="D14" s="8" t="s">
        <v>36</v>
      </c>
      <c r="G14" s="11" t="s">
        <v>50</v>
      </c>
      <c r="H14" s="25">
        <f>H13/45.3592</f>
        <v>2.2046244201837775E-2</v>
      </c>
      <c r="I14" s="8" t="s">
        <v>81</v>
      </c>
    </row>
    <row r="15" spans="1:11" x14ac:dyDescent="0.2">
      <c r="B15" s="11" t="s">
        <v>50</v>
      </c>
      <c r="C15" s="25">
        <f>C14/1000</f>
        <v>1.6093440000000001</v>
      </c>
      <c r="D15" s="8" t="s">
        <v>53</v>
      </c>
      <c r="G15" s="11" t="s">
        <v>50</v>
      </c>
      <c r="H15" s="25">
        <f>H13/907.1847</f>
        <v>1.1023113595279991E-3</v>
      </c>
      <c r="I15" s="8" t="s">
        <v>82</v>
      </c>
    </row>
    <row r="16" spans="1:11" x14ac:dyDescent="0.2">
      <c r="B16" s="11" t="s">
        <v>50</v>
      </c>
      <c r="C16" s="25">
        <f>C14/1609.344</f>
        <v>1</v>
      </c>
      <c r="D16" s="8" t="s">
        <v>52</v>
      </c>
      <c r="G16" s="11" t="s">
        <v>50</v>
      </c>
      <c r="H16" s="25">
        <f>H13/1000</f>
        <v>1E-3</v>
      </c>
      <c r="I16" s="8" t="s">
        <v>80</v>
      </c>
    </row>
    <row r="17" spans="1:10" x14ac:dyDescent="0.2">
      <c r="B17" s="11"/>
      <c r="C17" s="25"/>
    </row>
    <row r="18" spans="1:10" x14ac:dyDescent="0.2">
      <c r="A18" s="70" t="s">
        <v>69</v>
      </c>
      <c r="B18" s="70"/>
      <c r="C18" s="70"/>
      <c r="D18" s="70"/>
      <c r="E18" s="70"/>
      <c r="G18" s="70" t="s">
        <v>83</v>
      </c>
      <c r="H18" s="70"/>
      <c r="I18" s="70"/>
      <c r="J18" s="70"/>
    </row>
    <row r="19" spans="1:10" x14ac:dyDescent="0.2">
      <c r="A19" s="32"/>
      <c r="B19" s="32"/>
      <c r="C19" s="32"/>
      <c r="D19" s="32"/>
      <c r="E19" s="32"/>
      <c r="G19" s="32"/>
      <c r="H19" s="32"/>
      <c r="I19" s="32"/>
      <c r="J19" s="32"/>
    </row>
    <row r="20" spans="1:10" x14ac:dyDescent="0.2">
      <c r="H20" s="8"/>
    </row>
    <row r="21" spans="1:10" x14ac:dyDescent="0.2">
      <c r="B21" s="74" t="s">
        <v>48</v>
      </c>
      <c r="C21" s="74"/>
      <c r="D21" s="74"/>
      <c r="G21" s="74" t="s">
        <v>54</v>
      </c>
      <c r="H21" s="74"/>
      <c r="I21" s="74"/>
      <c r="J21" s="10"/>
    </row>
    <row r="22" spans="1:10" ht="13.5" thickBot="1" x14ac:dyDescent="0.25">
      <c r="G22" s="10"/>
      <c r="H22" s="10"/>
      <c r="I22" s="10"/>
      <c r="J22" s="10"/>
    </row>
    <row r="23" spans="1:10" ht="13.5" thickBot="1" x14ac:dyDescent="0.25">
      <c r="B23" s="23" t="s">
        <v>0</v>
      </c>
      <c r="C23" s="1">
        <v>1</v>
      </c>
      <c r="D23" s="24">
        <v>4</v>
      </c>
      <c r="G23" s="23" t="s">
        <v>0</v>
      </c>
      <c r="H23" s="1">
        <v>0</v>
      </c>
      <c r="I23" s="24">
        <v>2</v>
      </c>
    </row>
    <row r="24" spans="1:10" x14ac:dyDescent="0.2">
      <c r="B24" s="11" t="s">
        <v>50</v>
      </c>
      <c r="C24" s="25">
        <f>C27*POWER(100,2)</f>
        <v>10000</v>
      </c>
      <c r="D24" s="8" t="s">
        <v>59</v>
      </c>
      <c r="G24" s="11" t="s">
        <v>50</v>
      </c>
      <c r="H24" s="25">
        <f>IF(I23=1,H23,IF(I23=2,H23*9/5+32,IF(I23=3,H23-459.69,IF(I23=4,(H23-273.15)*9/5+32))))</f>
        <v>32</v>
      </c>
      <c r="I24" s="8" t="s">
        <v>91</v>
      </c>
    </row>
    <row r="25" spans="1:10" x14ac:dyDescent="0.2">
      <c r="B25" s="11" t="s">
        <v>50</v>
      </c>
      <c r="C25" s="25">
        <f>C27*POWER(39.3701,2)</f>
        <v>1550.0047740100001</v>
      </c>
      <c r="D25" s="8" t="s">
        <v>60</v>
      </c>
      <c r="G25" s="11" t="s">
        <v>50</v>
      </c>
      <c r="H25" s="25">
        <f>5/9*(H24-32)</f>
        <v>0</v>
      </c>
      <c r="I25" s="8" t="s">
        <v>92</v>
      </c>
    </row>
    <row r="26" spans="1:10" x14ac:dyDescent="0.2">
      <c r="B26" s="11" t="s">
        <v>50</v>
      </c>
      <c r="C26" s="25">
        <f>C27*POWER(3.2808,2)</f>
        <v>10.763648640000001</v>
      </c>
      <c r="D26" s="8" t="s">
        <v>67</v>
      </c>
      <c r="G26" s="11" t="s">
        <v>50</v>
      </c>
      <c r="H26" s="25">
        <f>H24+459.69</f>
        <v>491.69</v>
      </c>
      <c r="I26" s="8" t="s">
        <v>93</v>
      </c>
    </row>
    <row r="27" spans="1:10" x14ac:dyDescent="0.2">
      <c r="B27" s="11" t="s">
        <v>50</v>
      </c>
      <c r="C27" s="25">
        <f>IF(D23=1,C23/POWER(100,2),IF(D23=2,C23/POWER(39.3701,2),IF(D23=3,C23/POWER(3.2808,2),IF(D23=4,C23,IF(D23=5,C23*POWER(63.615,2),IF(D23=6,C23*POWER(1000,2),IF(D23=7,C23*POWER(1609.344,2))))))))</f>
        <v>1</v>
      </c>
      <c r="D27" s="8" t="s">
        <v>61</v>
      </c>
      <c r="G27" s="11" t="s">
        <v>50</v>
      </c>
      <c r="H27" s="25">
        <f>5/9*(H24-32)+273.15</f>
        <v>273.14999999999998</v>
      </c>
      <c r="I27" s="8" t="s">
        <v>94</v>
      </c>
      <c r="J27" s="12"/>
    </row>
    <row r="28" spans="1:10" x14ac:dyDescent="0.2">
      <c r="B28" s="11" t="s">
        <v>50</v>
      </c>
      <c r="C28" s="25">
        <f>C27/POWER(63.615,2)</f>
        <v>2.471046607898877E-4</v>
      </c>
      <c r="D28" s="8" t="s">
        <v>75</v>
      </c>
      <c r="H28" s="8"/>
    </row>
    <row r="29" spans="1:10" x14ac:dyDescent="0.2">
      <c r="B29" s="11" t="s">
        <v>50</v>
      </c>
      <c r="C29" s="25">
        <f>C27/POWER(1000,2)</f>
        <v>9.9999999999999995E-7</v>
      </c>
      <c r="D29" s="8" t="s">
        <v>63</v>
      </c>
      <c r="G29" s="70" t="s">
        <v>72</v>
      </c>
      <c r="H29" s="70"/>
      <c r="I29" s="70"/>
      <c r="J29" s="19"/>
    </row>
    <row r="30" spans="1:10" x14ac:dyDescent="0.2">
      <c r="B30" s="11" t="s">
        <v>50</v>
      </c>
      <c r="C30" s="25">
        <f>C27/POWER(1609.344,2)</f>
        <v>3.8610215854244582E-7</v>
      </c>
      <c r="D30" s="8" t="s">
        <v>62</v>
      </c>
      <c r="F30" s="19"/>
      <c r="G30" s="70" t="s">
        <v>70</v>
      </c>
      <c r="H30" s="70"/>
      <c r="I30" s="70"/>
      <c r="J30" s="19"/>
    </row>
    <row r="31" spans="1:10" x14ac:dyDescent="0.2">
      <c r="F31" s="19"/>
      <c r="H31" s="8"/>
    </row>
    <row r="32" spans="1:10" x14ac:dyDescent="0.2">
      <c r="A32" s="70" t="s">
        <v>73</v>
      </c>
      <c r="B32" s="70"/>
      <c r="C32" s="70"/>
      <c r="D32" s="70"/>
      <c r="E32" s="70"/>
      <c r="F32" s="19"/>
      <c r="G32" s="19"/>
      <c r="H32" s="19"/>
      <c r="I32" s="19"/>
      <c r="J32" s="19"/>
    </row>
    <row r="33" spans="1:10" x14ac:dyDescent="0.2">
      <c r="A33" s="70" t="s">
        <v>79</v>
      </c>
      <c r="B33" s="70"/>
      <c r="C33" s="70"/>
      <c r="D33" s="70"/>
      <c r="E33" s="70"/>
      <c r="F33" s="19"/>
      <c r="G33" s="19"/>
      <c r="H33" s="19"/>
      <c r="I33" s="19"/>
      <c r="J33" s="19"/>
    </row>
    <row r="34" spans="1:10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">
      <c r="F35" s="19"/>
      <c r="G35" s="19"/>
      <c r="H35" s="19"/>
      <c r="J35" s="19"/>
    </row>
    <row r="36" spans="1:10" x14ac:dyDescent="0.2">
      <c r="B36" s="74" t="s">
        <v>49</v>
      </c>
      <c r="C36" s="74"/>
      <c r="D36" s="74"/>
      <c r="F36" s="19"/>
      <c r="G36" s="19"/>
      <c r="H36" s="19"/>
      <c r="J36" s="19"/>
    </row>
    <row r="37" spans="1:10" ht="13.5" thickBot="1" x14ac:dyDescent="0.25">
      <c r="F37" s="19"/>
      <c r="G37" s="19"/>
      <c r="H37" s="19"/>
      <c r="J37" s="19"/>
    </row>
    <row r="38" spans="1:10" ht="13.5" thickBot="1" x14ac:dyDescent="0.25">
      <c r="B38" s="23" t="s">
        <v>0</v>
      </c>
      <c r="C38" s="1">
        <v>2</v>
      </c>
      <c r="D38" s="24">
        <v>4</v>
      </c>
    </row>
    <row r="39" spans="1:10" x14ac:dyDescent="0.2">
      <c r="B39" s="11" t="s">
        <v>50</v>
      </c>
      <c r="C39" s="25">
        <f>C42*1000</f>
        <v>2000</v>
      </c>
      <c r="D39" s="8" t="s">
        <v>76</v>
      </c>
    </row>
    <row r="40" spans="1:10" x14ac:dyDescent="0.2">
      <c r="B40" s="11" t="s">
        <v>50</v>
      </c>
      <c r="C40" s="25">
        <f>C42*33.814</f>
        <v>67.628</v>
      </c>
      <c r="D40" s="8" t="s">
        <v>66</v>
      </c>
    </row>
    <row r="41" spans="1:10" x14ac:dyDescent="0.2">
      <c r="B41" s="11" t="s">
        <v>50</v>
      </c>
      <c r="C41" s="25">
        <f>C42*1.0567</f>
        <v>2.1133999999999999</v>
      </c>
      <c r="D41" s="8" t="s">
        <v>84</v>
      </c>
    </row>
    <row r="42" spans="1:10" x14ac:dyDescent="0.2">
      <c r="B42" s="11" t="s">
        <v>50</v>
      </c>
      <c r="C42" s="25">
        <f>IF(D38=1,C38/1000,IF(D38=2,C38/33.814,IF(D38=3,C38/1.0567,IF(D38=4,C38,IF(D38=5,C38*3.7851,IF(D38=6,C38*28.3168,IF(D38=7,C38*1000)))))))</f>
        <v>2</v>
      </c>
      <c r="D42" s="8" t="s">
        <v>77</v>
      </c>
    </row>
    <row r="43" spans="1:10" x14ac:dyDescent="0.2">
      <c r="B43" s="11" t="s">
        <v>50</v>
      </c>
      <c r="C43" s="22">
        <f>C42/3.7851</f>
        <v>0.5283876251618187</v>
      </c>
      <c r="D43" s="8" t="s">
        <v>78</v>
      </c>
    </row>
    <row r="44" spans="1:10" x14ac:dyDescent="0.2">
      <c r="B44" s="11" t="s">
        <v>50</v>
      </c>
      <c r="C44" s="25">
        <f>C42/28.3168</f>
        <v>7.0629449655328289E-2</v>
      </c>
      <c r="D44" s="8" t="s">
        <v>64</v>
      </c>
    </row>
    <row r="45" spans="1:10" x14ac:dyDescent="0.2">
      <c r="B45" s="11" t="s">
        <v>50</v>
      </c>
      <c r="C45" s="25">
        <f>C42/1000</f>
        <v>2E-3</v>
      </c>
      <c r="D45" s="8" t="s">
        <v>65</v>
      </c>
    </row>
    <row r="47" spans="1:10" x14ac:dyDescent="0.2">
      <c r="B47" s="70" t="s">
        <v>85</v>
      </c>
      <c r="C47" s="70"/>
      <c r="D47" s="70"/>
      <c r="E47" s="70"/>
    </row>
    <row r="48" spans="1:10" x14ac:dyDescent="0.2">
      <c r="B48" s="70" t="s">
        <v>74</v>
      </c>
      <c r="C48" s="70"/>
      <c r="D48" s="70"/>
      <c r="E48" s="70"/>
    </row>
  </sheetData>
  <sheetProtection algorithmName="SHA-512" hashValue="hWTtm3R3PISv/n2HsHs9eP5ws5RiPfeqWegVsuXYJU3asH8eP3YFNc0YJB+l1tRch2MLlYQFwskby2bo20kkKQ==" saltValue="v+4Qcy8cyPMzbfSGE2A2lg==" spinCount="100000" sheet="1" objects="1" scenarios="1"/>
  <mergeCells count="16">
    <mergeCell ref="B1:J1"/>
    <mergeCell ref="A33:E33"/>
    <mergeCell ref="A18:E18"/>
    <mergeCell ref="B21:D21"/>
    <mergeCell ref="G21:I21"/>
    <mergeCell ref="A32:E32"/>
    <mergeCell ref="B3:J3"/>
    <mergeCell ref="B4:J4"/>
    <mergeCell ref="B47:E47"/>
    <mergeCell ref="B48:E48"/>
    <mergeCell ref="G18:J18"/>
    <mergeCell ref="B7:D7"/>
    <mergeCell ref="G7:I7"/>
    <mergeCell ref="G29:I29"/>
    <mergeCell ref="G30:I30"/>
    <mergeCell ref="B36:D36"/>
  </mergeCells>
  <phoneticPr fontId="0" type="noConversion"/>
  <dataValidations count="2">
    <dataValidation type="decimal" operator="greaterThanOrEqual" allowBlank="1" showInputMessage="1" showErrorMessage="1" sqref="C9 H9 C23 C38" xr:uid="{00000000-0002-0000-0A00-000000000000}">
      <formula1>0</formula1>
    </dataValidation>
    <dataValidation type="decimal" operator="greaterThanOrEqual" allowBlank="1" showInputMessage="1" showErrorMessage="1" sqref="H23" xr:uid="{00000000-0002-0000-0A00-000001000000}">
      <formula1>-460</formula1>
    </dataValidation>
  </dataValidations>
  <pageMargins left="0.75" right="0.75" top="1" bottom="1" header="0.5" footer="0.5"/>
  <pageSetup orientation="landscape" r:id="rId1"/>
  <headerFooter alignWithMargins="0"/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locked="0" defaultSize="0" autoLine="0" autoPict="0">
                <anchor moveWithCells="1">
                  <from>
                    <xdr:col>3</xdr:col>
                    <xdr:colOff>28575</xdr:colOff>
                    <xdr:row>7</xdr:row>
                    <xdr:rowOff>152400</xdr:rowOff>
                  </from>
                  <to>
                    <xdr:col>4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Drop Down 2">
              <controlPr locked="0" defaultSize="0" autoLine="0" autoPict="0">
                <anchor moveWithCells="1">
                  <from>
                    <xdr:col>8</xdr:col>
                    <xdr:colOff>28575</xdr:colOff>
                    <xdr:row>7</xdr:row>
                    <xdr:rowOff>152400</xdr:rowOff>
                  </from>
                  <to>
                    <xdr:col>9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Drop Down 5">
              <controlPr locked="0" defaultSize="0" autoLine="0" autoPict="0">
                <anchor moveWithCells="1">
                  <from>
                    <xdr:col>3</xdr:col>
                    <xdr:colOff>28575</xdr:colOff>
                    <xdr:row>21</xdr:row>
                    <xdr:rowOff>152400</xdr:rowOff>
                  </from>
                  <to>
                    <xdr:col>4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Drop Down 6">
              <controlPr locked="0" defaultSize="0" autoLine="0" autoPict="0">
                <anchor moveWithCells="1">
                  <from>
                    <xdr:col>8</xdr:col>
                    <xdr:colOff>28575</xdr:colOff>
                    <xdr:row>21</xdr:row>
                    <xdr:rowOff>152400</xdr:rowOff>
                  </from>
                  <to>
                    <xdr:col>9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Drop Down 7">
              <controlPr locked="0" defaultSize="0" autoLine="0" autoPict="0">
                <anchor moveWithCells="1">
                  <from>
                    <xdr:col>3</xdr:col>
                    <xdr:colOff>28575</xdr:colOff>
                    <xdr:row>36</xdr:row>
                    <xdr:rowOff>152400</xdr:rowOff>
                  </from>
                  <to>
                    <xdr:col>4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05"/>
  <sheetViews>
    <sheetView workbookViewId="0">
      <selection activeCell="M14" sqref="M14"/>
    </sheetView>
  </sheetViews>
  <sheetFormatPr defaultRowHeight="12.75" x14ac:dyDescent="0.2"/>
  <cols>
    <col min="1" max="1" width="9.5703125" customWidth="1"/>
    <col min="2" max="2" width="13.85546875" customWidth="1"/>
    <col min="3" max="3" width="12" customWidth="1"/>
    <col min="4" max="4" width="17" customWidth="1"/>
    <col min="5" max="5" width="5.7109375" customWidth="1"/>
    <col min="6" max="6" width="11.140625" bestFit="1" customWidth="1"/>
    <col min="7" max="7" width="17" bestFit="1" customWidth="1"/>
    <col min="8" max="8" width="8.7109375" customWidth="1"/>
    <col min="9" max="9" width="17.7109375" customWidth="1"/>
    <col min="10" max="10" width="12.42578125" customWidth="1"/>
    <col min="11" max="11" width="20.7109375" customWidth="1"/>
    <col min="12" max="12" width="77.5703125" customWidth="1"/>
    <col min="13" max="13" width="20.7109375" customWidth="1"/>
    <col min="14" max="14" width="45.28515625" customWidth="1"/>
    <col min="15" max="16" width="20.7109375" customWidth="1"/>
  </cols>
  <sheetData>
    <row r="1" spans="1:16" x14ac:dyDescent="0.2">
      <c r="A1" s="8"/>
      <c r="B1" s="32"/>
      <c r="C1" s="70" t="s">
        <v>320</v>
      </c>
      <c r="D1" s="75"/>
      <c r="E1" s="75"/>
      <c r="F1" s="75"/>
      <c r="G1" s="75"/>
      <c r="H1" s="32"/>
      <c r="I1" s="32"/>
      <c r="J1" s="32"/>
      <c r="K1" s="51"/>
      <c r="L1" s="51"/>
      <c r="M1" s="51"/>
      <c r="N1" s="51"/>
      <c r="O1" s="51"/>
      <c r="P1" s="51"/>
    </row>
    <row r="2" spans="1:16" x14ac:dyDescent="0.2">
      <c r="A2" s="8"/>
      <c r="B2" s="32"/>
      <c r="C2" s="32"/>
      <c r="D2" s="32"/>
      <c r="E2" s="32"/>
      <c r="F2" s="32"/>
      <c r="G2" s="32"/>
      <c r="H2" s="32"/>
      <c r="I2" s="32"/>
      <c r="J2" s="32"/>
      <c r="K2" s="51"/>
      <c r="L2" s="51"/>
      <c r="M2" s="51"/>
      <c r="N2" s="51"/>
      <c r="O2" s="51"/>
      <c r="P2" s="51"/>
    </row>
    <row r="3" spans="1:16" ht="58.5" customHeight="1" x14ac:dyDescent="0.45">
      <c r="A3" s="52" t="s">
        <v>319</v>
      </c>
      <c r="B3" s="52"/>
      <c r="C3" s="51"/>
      <c r="D3" s="53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2">
      <c r="A4" s="54" t="s">
        <v>283</v>
      </c>
      <c r="B4" s="54"/>
      <c r="C4" s="55"/>
      <c r="D4" s="55"/>
      <c r="E4" s="55"/>
      <c r="F4" s="55"/>
      <c r="G4" s="55"/>
      <c r="H4" s="55"/>
      <c r="I4" s="55"/>
      <c r="J4" s="55"/>
      <c r="K4" s="55"/>
      <c r="L4" s="51"/>
      <c r="M4" s="51"/>
      <c r="N4" s="51"/>
      <c r="O4" s="51"/>
      <c r="P4" s="51"/>
    </row>
    <row r="5" spans="1:16" x14ac:dyDescent="0.2">
      <c r="A5" s="56" t="s">
        <v>300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1"/>
      <c r="M5" s="51"/>
      <c r="N5" s="51"/>
      <c r="O5" s="51"/>
      <c r="P5" s="51"/>
    </row>
    <row r="6" spans="1:16" ht="13.5" thickBot="1" x14ac:dyDescent="0.25">
      <c r="A6" s="56"/>
      <c r="B6" s="55"/>
      <c r="C6" s="55"/>
      <c r="D6" s="55"/>
      <c r="E6" s="55"/>
      <c r="F6" s="55"/>
      <c r="G6" s="55"/>
      <c r="H6" s="55"/>
      <c r="I6" s="55"/>
      <c r="J6" s="55"/>
      <c r="K6" s="55"/>
      <c r="L6" s="51"/>
      <c r="M6" s="51"/>
      <c r="N6" s="51"/>
      <c r="O6" s="51"/>
      <c r="P6" s="51"/>
    </row>
    <row r="7" spans="1:16" ht="13.5" thickBot="1" x14ac:dyDescent="0.25">
      <c r="A7" s="57" t="s">
        <v>0</v>
      </c>
      <c r="B7" s="55" t="s">
        <v>286</v>
      </c>
      <c r="C7" s="63">
        <v>20</v>
      </c>
      <c r="D7" s="56" t="s">
        <v>287</v>
      </c>
      <c r="E7" s="55"/>
      <c r="F7" s="58" t="s">
        <v>284</v>
      </c>
      <c r="G7" s="55"/>
      <c r="H7" s="55"/>
      <c r="I7" s="66" t="s">
        <v>285</v>
      </c>
      <c r="J7" s="55"/>
      <c r="K7" s="55"/>
      <c r="L7" s="51"/>
      <c r="M7" s="51"/>
      <c r="N7" s="51"/>
      <c r="O7" s="59" t="s">
        <v>290</v>
      </c>
      <c r="P7" s="51"/>
    </row>
    <row r="8" spans="1:16" ht="13.5" thickBot="1" x14ac:dyDescent="0.25">
      <c r="A8" s="57" t="s">
        <v>0</v>
      </c>
      <c r="B8" s="56" t="s">
        <v>299</v>
      </c>
      <c r="C8" s="63">
        <v>1E-3</v>
      </c>
      <c r="D8" s="68" t="s">
        <v>291</v>
      </c>
      <c r="E8" s="55"/>
      <c r="F8" s="55">
        <f>F9/1000</f>
        <v>2.0000000000000002E-5</v>
      </c>
      <c r="G8" s="55" t="s">
        <v>288</v>
      </c>
      <c r="H8" s="55"/>
      <c r="I8" s="55">
        <f>I9*1000</f>
        <v>1</v>
      </c>
      <c r="J8" s="55" t="s">
        <v>289</v>
      </c>
      <c r="K8" s="55"/>
      <c r="L8" s="51"/>
      <c r="M8" s="51"/>
      <c r="N8" s="51"/>
      <c r="O8" s="55" t="s">
        <v>291</v>
      </c>
      <c r="P8" s="51"/>
    </row>
    <row r="9" spans="1:16" x14ac:dyDescent="0.2">
      <c r="A9" s="56" t="s">
        <v>1</v>
      </c>
      <c r="B9" s="56" t="s">
        <v>293</v>
      </c>
      <c r="C9" s="60">
        <f>C7/I14</f>
        <v>2.0000000000000002E-5</v>
      </c>
      <c r="D9" s="55"/>
      <c r="E9" s="55"/>
      <c r="F9" s="55">
        <f>F10/1000</f>
        <v>0.02</v>
      </c>
      <c r="G9" s="56" t="s">
        <v>292</v>
      </c>
      <c r="H9" s="55"/>
      <c r="I9" s="55">
        <f xml:space="preserve"> IF(D8=O8, C8, 1/I13)</f>
        <v>1E-3</v>
      </c>
      <c r="J9" s="55" t="s">
        <v>291</v>
      </c>
      <c r="K9" s="55"/>
      <c r="L9" s="51"/>
      <c r="M9" s="51"/>
      <c r="N9" s="59"/>
      <c r="O9" s="51"/>
      <c r="P9" s="51"/>
    </row>
    <row r="10" spans="1:16" x14ac:dyDescent="0.2">
      <c r="A10" s="56" t="s">
        <v>1</v>
      </c>
      <c r="B10" s="56" t="s">
        <v>295</v>
      </c>
      <c r="C10" s="61">
        <f>C9</f>
        <v>2.0000000000000002E-5</v>
      </c>
      <c r="D10" s="55"/>
      <c r="E10" s="55"/>
      <c r="F10" s="55">
        <f>C7</f>
        <v>20</v>
      </c>
      <c r="G10" s="56" t="s">
        <v>290</v>
      </c>
      <c r="H10" s="55"/>
      <c r="I10" s="55">
        <f>I9/1000</f>
        <v>9.9999999999999995E-7</v>
      </c>
      <c r="J10" s="55" t="s">
        <v>294</v>
      </c>
      <c r="K10" s="55"/>
      <c r="L10" s="51"/>
      <c r="M10" s="51"/>
      <c r="N10" s="59"/>
      <c r="O10" s="51" t="s">
        <v>306</v>
      </c>
      <c r="P10" s="51"/>
    </row>
    <row r="11" spans="1:16" x14ac:dyDescent="0.2">
      <c r="A11" s="55"/>
      <c r="B11" s="55"/>
      <c r="C11" s="55"/>
      <c r="D11" s="55"/>
      <c r="E11" s="55"/>
      <c r="F11" s="55">
        <f>F10*1000</f>
        <v>20000</v>
      </c>
      <c r="G11" s="56" t="s">
        <v>296</v>
      </c>
      <c r="H11" s="55"/>
      <c r="I11" s="55">
        <f>I10/1000</f>
        <v>9.9999999999999986E-10</v>
      </c>
      <c r="J11" s="55" t="s">
        <v>297</v>
      </c>
      <c r="K11" s="55"/>
      <c r="L11" s="51"/>
      <c r="M11" s="51"/>
      <c r="N11" s="51"/>
      <c r="O11" s="51" t="s">
        <v>305</v>
      </c>
      <c r="P11" s="51"/>
    </row>
    <row r="12" spans="1:16" x14ac:dyDescent="0.2">
      <c r="A12" s="55"/>
      <c r="B12" s="55"/>
      <c r="C12" s="55"/>
      <c r="D12" s="55"/>
      <c r="E12" s="55"/>
      <c r="F12" s="55"/>
      <c r="G12" s="56"/>
      <c r="H12" s="55"/>
      <c r="I12" s="55">
        <f>I13/1000</f>
        <v>1</v>
      </c>
      <c r="J12" s="56" t="s">
        <v>288</v>
      </c>
      <c r="K12" s="55"/>
      <c r="L12" s="51"/>
      <c r="M12" s="51"/>
      <c r="N12" s="51"/>
      <c r="O12" s="51"/>
      <c r="P12" s="51"/>
    </row>
    <row r="13" spans="1:16" x14ac:dyDescent="0.2">
      <c r="A13" s="55"/>
      <c r="B13" s="55"/>
      <c r="C13" s="55"/>
      <c r="D13" s="55"/>
      <c r="E13" s="55"/>
      <c r="F13" s="55"/>
      <c r="G13" s="55"/>
      <c r="H13" s="55"/>
      <c r="I13" s="55">
        <f>I14/1000</f>
        <v>1000</v>
      </c>
      <c r="J13" s="56" t="s">
        <v>292</v>
      </c>
      <c r="K13" s="55"/>
      <c r="L13" s="51"/>
      <c r="M13" s="51"/>
      <c r="N13" s="51"/>
      <c r="O13" s="51" t="s">
        <v>317</v>
      </c>
      <c r="P13" s="51"/>
    </row>
    <row r="14" spans="1:16" x14ac:dyDescent="0.2">
      <c r="A14" s="55"/>
      <c r="B14" s="55"/>
      <c r="C14" s="55"/>
      <c r="D14" s="55"/>
      <c r="E14" s="55"/>
      <c r="F14" s="55"/>
      <c r="G14" s="55"/>
      <c r="H14" s="55"/>
      <c r="I14" s="56">
        <f>IF(D8=O7, C8, 1/I10)</f>
        <v>1000000</v>
      </c>
      <c r="J14" s="56" t="s">
        <v>290</v>
      </c>
      <c r="K14" s="55"/>
      <c r="L14" s="51"/>
      <c r="M14" s="51"/>
      <c r="N14" s="51"/>
      <c r="O14" s="51" t="s">
        <v>318</v>
      </c>
      <c r="P14" s="51"/>
    </row>
    <row r="15" spans="1:16" x14ac:dyDescent="0.2">
      <c r="A15" s="51"/>
      <c r="B15" s="51"/>
      <c r="C15" s="51"/>
      <c r="D15" s="51"/>
      <c r="E15" s="51"/>
      <c r="F15" s="55"/>
      <c r="G15" s="55"/>
      <c r="H15" s="55"/>
      <c r="I15" s="55">
        <f>I14*1000</f>
        <v>1000000000</v>
      </c>
      <c r="J15" s="56" t="s">
        <v>296</v>
      </c>
      <c r="K15" s="55"/>
      <c r="L15" s="51"/>
      <c r="M15" s="51"/>
      <c r="N15" s="51"/>
      <c r="O15" s="51"/>
      <c r="P15" s="51"/>
    </row>
    <row r="16" spans="1:16" x14ac:dyDescent="0.2">
      <c r="A16" s="51"/>
      <c r="B16" s="51"/>
      <c r="C16" s="51"/>
      <c r="D16" s="51"/>
      <c r="E16" s="51"/>
      <c r="F16" s="55"/>
      <c r="G16" s="55"/>
      <c r="H16" s="55"/>
      <c r="I16" s="55"/>
      <c r="J16" s="56"/>
      <c r="K16" s="55"/>
      <c r="L16" s="51"/>
      <c r="M16" s="51"/>
      <c r="N16" s="51"/>
      <c r="O16" s="51"/>
      <c r="P16" s="51"/>
    </row>
    <row r="17" spans="1:16" x14ac:dyDescent="0.2">
      <c r="A17" s="51"/>
      <c r="B17" s="51"/>
      <c r="C17" s="51"/>
      <c r="D17" s="51"/>
      <c r="E17" s="51"/>
      <c r="F17" s="55"/>
      <c r="G17" s="55"/>
      <c r="H17" s="55"/>
      <c r="I17" s="55"/>
      <c r="J17" s="56"/>
      <c r="K17" s="55"/>
      <c r="L17" s="51"/>
      <c r="M17" s="51"/>
      <c r="N17" s="51"/>
      <c r="O17" s="51"/>
      <c r="P17" s="51"/>
    </row>
    <row r="18" spans="1:16" x14ac:dyDescent="0.2">
      <c r="A18" s="62" t="s">
        <v>298</v>
      </c>
      <c r="B18" s="51"/>
      <c r="C18" s="51"/>
      <c r="D18" s="51"/>
      <c r="E18" s="51"/>
      <c r="F18" s="62" t="s">
        <v>314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x14ac:dyDescent="0.2">
      <c r="A19" s="51" t="s">
        <v>301</v>
      </c>
      <c r="B19" s="51"/>
      <c r="C19" s="51"/>
      <c r="D19" s="51"/>
      <c r="E19" s="51"/>
      <c r="F19" s="51" t="s">
        <v>315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3.5" thickBo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3.5" thickBot="1" x14ac:dyDescent="0.25">
      <c r="A21" s="67" t="s">
        <v>0</v>
      </c>
      <c r="B21" s="51" t="s">
        <v>302</v>
      </c>
      <c r="C21" s="65">
        <v>1</v>
      </c>
      <c r="D21" s="51" t="s">
        <v>9</v>
      </c>
      <c r="E21" s="51"/>
      <c r="F21" s="67" t="s">
        <v>0</v>
      </c>
      <c r="G21" s="51" t="s">
        <v>302</v>
      </c>
      <c r="H21" s="65">
        <v>10</v>
      </c>
      <c r="I21" s="51" t="s">
        <v>9</v>
      </c>
      <c r="J21" s="51"/>
      <c r="K21" s="51"/>
      <c r="L21" s="51"/>
      <c r="M21" s="51"/>
      <c r="N21" s="51"/>
      <c r="O21" s="51"/>
      <c r="P21" s="51"/>
    </row>
    <row r="22" spans="1:16" ht="13.5" thickBot="1" x14ac:dyDescent="0.25">
      <c r="A22" s="67" t="s">
        <v>0</v>
      </c>
      <c r="B22" s="59" t="s">
        <v>313</v>
      </c>
      <c r="C22" s="65">
        <v>1000</v>
      </c>
      <c r="D22" s="69" t="s">
        <v>305</v>
      </c>
      <c r="E22" s="51"/>
      <c r="F22" s="67" t="s">
        <v>0</v>
      </c>
      <c r="G22" s="59" t="s">
        <v>316</v>
      </c>
      <c r="H22" s="65">
        <v>61.24</v>
      </c>
      <c r="I22" s="69" t="s">
        <v>317</v>
      </c>
      <c r="J22" s="51"/>
      <c r="K22" s="51"/>
      <c r="L22" s="51"/>
      <c r="M22" s="51"/>
      <c r="N22" s="51"/>
      <c r="O22" s="51"/>
      <c r="P22" s="51"/>
    </row>
    <row r="23" spans="1:16" x14ac:dyDescent="0.2">
      <c r="A23" s="59" t="s">
        <v>1</v>
      </c>
      <c r="B23" s="59" t="s">
        <v>307</v>
      </c>
      <c r="C23" s="64">
        <f>C26*(C21/100)</f>
        <v>10</v>
      </c>
      <c r="D23" s="59" t="s">
        <v>308</v>
      </c>
      <c r="E23" s="51"/>
      <c r="F23" s="59" t="s">
        <v>1</v>
      </c>
      <c r="G23" s="59" t="s">
        <v>307</v>
      </c>
      <c r="H23" s="64">
        <f>IF(I22=O14, H22, (H22*H22)/50)</f>
        <v>75.006752000000006</v>
      </c>
      <c r="I23" s="59" t="s">
        <v>308</v>
      </c>
      <c r="J23" s="51"/>
      <c r="K23" s="51"/>
      <c r="L23" s="51"/>
      <c r="M23" s="51"/>
      <c r="N23" s="51"/>
      <c r="O23" s="51"/>
      <c r="P23" s="51"/>
    </row>
    <row r="24" spans="1:16" x14ac:dyDescent="0.2">
      <c r="A24" s="59" t="s">
        <v>1</v>
      </c>
      <c r="B24" s="59" t="s">
        <v>307</v>
      </c>
      <c r="C24" s="64">
        <f>10*LOG10(1000*C23)</f>
        <v>40</v>
      </c>
      <c r="D24" s="59" t="s">
        <v>14</v>
      </c>
      <c r="E24" s="51"/>
      <c r="F24" s="59" t="s">
        <v>1</v>
      </c>
      <c r="G24" s="59" t="s">
        <v>307</v>
      </c>
      <c r="H24" s="64">
        <f>10*LOG10(1000*H23)</f>
        <v>48.751003597164278</v>
      </c>
      <c r="I24" s="59" t="s">
        <v>14</v>
      </c>
      <c r="J24" s="51"/>
      <c r="K24" s="51"/>
      <c r="L24" s="51"/>
      <c r="M24" s="51"/>
      <c r="N24" s="51"/>
      <c r="O24" s="51"/>
      <c r="P24" s="51"/>
    </row>
    <row r="25" spans="1:16" x14ac:dyDescent="0.2">
      <c r="A25" s="59" t="s">
        <v>1</v>
      </c>
      <c r="B25" s="59" t="s">
        <v>309</v>
      </c>
      <c r="C25" s="64">
        <f>SQRT(C23*50)</f>
        <v>22.360679774997898</v>
      </c>
      <c r="D25" s="59" t="s">
        <v>310</v>
      </c>
      <c r="E25" s="51"/>
      <c r="F25" s="59" t="s">
        <v>1</v>
      </c>
      <c r="G25" s="59" t="s">
        <v>309</v>
      </c>
      <c r="H25" s="64">
        <f>IF(I22=O13, H22, SQRT(H23*50))</f>
        <v>61.24</v>
      </c>
      <c r="I25" s="59" t="s">
        <v>310</v>
      </c>
      <c r="J25" s="51"/>
      <c r="K25" s="51"/>
      <c r="L25" s="51"/>
      <c r="M25" s="51"/>
      <c r="N25" s="51"/>
      <c r="O25" s="51"/>
      <c r="P25" s="51"/>
    </row>
    <row r="26" spans="1:16" x14ac:dyDescent="0.2">
      <c r="A26" s="59" t="s">
        <v>1</v>
      </c>
      <c r="B26" s="59" t="s">
        <v>311</v>
      </c>
      <c r="C26" s="64">
        <f>IF(D22=O11, C22, (C22*C22)/50)</f>
        <v>1000</v>
      </c>
      <c r="D26" s="59" t="s">
        <v>308</v>
      </c>
      <c r="E26" s="51"/>
      <c r="F26" s="59" t="s">
        <v>1</v>
      </c>
      <c r="G26" s="59" t="s">
        <v>311</v>
      </c>
      <c r="H26" s="64">
        <f>H23/(H21/100)</f>
        <v>750.06752000000006</v>
      </c>
      <c r="I26" s="59" t="s">
        <v>308</v>
      </c>
      <c r="J26" s="51"/>
      <c r="K26" s="51"/>
      <c r="L26" s="51"/>
      <c r="M26" s="51"/>
      <c r="N26" s="51"/>
      <c r="O26" s="51"/>
      <c r="P26" s="51"/>
    </row>
    <row r="27" spans="1:16" x14ac:dyDescent="0.2">
      <c r="A27" s="59" t="s">
        <v>1</v>
      </c>
      <c r="B27" s="59" t="s">
        <v>304</v>
      </c>
      <c r="C27" s="64">
        <f>10*LOG10(1000*C26)</f>
        <v>60</v>
      </c>
      <c r="D27" s="59" t="s">
        <v>14</v>
      </c>
      <c r="E27" s="51"/>
      <c r="F27" s="59" t="s">
        <v>1</v>
      </c>
      <c r="G27" s="59" t="s">
        <v>304</v>
      </c>
      <c r="H27" s="64">
        <f>10*LOG10(1000*H26)</f>
        <v>58.751003597164278</v>
      </c>
      <c r="I27" s="59" t="s">
        <v>14</v>
      </c>
      <c r="J27" s="51"/>
      <c r="K27" s="51"/>
      <c r="L27" s="51"/>
      <c r="M27" s="51"/>
      <c r="N27" s="51"/>
      <c r="O27" s="51"/>
      <c r="P27" s="51"/>
    </row>
    <row r="28" spans="1:16" x14ac:dyDescent="0.2">
      <c r="A28" s="59" t="s">
        <v>1</v>
      </c>
      <c r="B28" s="59" t="s">
        <v>303</v>
      </c>
      <c r="C28" s="64">
        <f>IF(D22=O10, C22, SQRT(C26*50))</f>
        <v>223.60679774997897</v>
      </c>
      <c r="D28" s="59" t="s">
        <v>312</v>
      </c>
      <c r="E28" s="51"/>
      <c r="F28" s="59" t="s">
        <v>1</v>
      </c>
      <c r="G28" s="59" t="s">
        <v>303</v>
      </c>
      <c r="H28" s="64">
        <f>SQRT(H26*50)</f>
        <v>193.65788390871157</v>
      </c>
      <c r="I28" s="59" t="s">
        <v>312</v>
      </c>
      <c r="J28" s="51"/>
      <c r="K28" s="51"/>
      <c r="L28" s="51"/>
      <c r="M28" s="51"/>
      <c r="N28" s="51"/>
      <c r="O28" s="51"/>
      <c r="P28" s="51"/>
    </row>
    <row r="29" spans="1:16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  <row r="34" spans="1:16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1:16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1:16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1:16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1:16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1:16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</row>
    <row r="48" spans="1:16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1:16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1:16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 spans="1:16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2" spans="1:16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</row>
    <row r="53" spans="1:16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 spans="1:16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1:16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1:16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1:16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1:16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1:16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1:16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1:16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1:16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 spans="1:16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6" spans="1:16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</row>
    <row r="67" spans="1:16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</row>
    <row r="68" spans="1:16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</row>
    <row r="69" spans="1:16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0" spans="1:16" x14ac:dyDescent="0.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</row>
    <row r="71" spans="1:16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</row>
    <row r="72" spans="1:16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</row>
    <row r="73" spans="1:16" x14ac:dyDescent="0.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</row>
    <row r="74" spans="1:16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</row>
    <row r="75" spans="1:16" x14ac:dyDescent="0.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</row>
    <row r="76" spans="1:16" x14ac:dyDescent="0.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1:16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</row>
    <row r="78" spans="1:16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</row>
    <row r="79" spans="1:16" x14ac:dyDescent="0.2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</row>
    <row r="80" spans="1:16" x14ac:dyDescent="0.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</row>
    <row r="81" spans="1:16" x14ac:dyDescent="0.2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</row>
    <row r="82" spans="1:16" x14ac:dyDescent="0.2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</row>
    <row r="83" spans="1:16" x14ac:dyDescent="0.2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</row>
    <row r="84" spans="1:16" x14ac:dyDescent="0.2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</row>
    <row r="85" spans="1:16" x14ac:dyDescent="0.2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</row>
    <row r="86" spans="1:16" x14ac:dyDescent="0.2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 spans="1:16" x14ac:dyDescent="0.2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1:16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</row>
    <row r="89" spans="1:16" x14ac:dyDescent="0.2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</row>
    <row r="90" spans="1:16" x14ac:dyDescent="0.2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</row>
    <row r="91" spans="1:16" x14ac:dyDescent="0.2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</row>
    <row r="92" spans="1:16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</row>
    <row r="93" spans="1:16" x14ac:dyDescent="0.2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</row>
    <row r="94" spans="1:16" x14ac:dyDescent="0.2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</row>
    <row r="95" spans="1:16" x14ac:dyDescent="0.2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</row>
    <row r="96" spans="1:16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</row>
    <row r="97" spans="1:16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</row>
    <row r="98" spans="1:16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</row>
    <row r="99" spans="1:16" x14ac:dyDescent="0.2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</row>
    <row r="100" spans="1:16" x14ac:dyDescent="0.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</row>
    <row r="101" spans="1:16" x14ac:dyDescent="0.2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</row>
    <row r="102" spans="1:16" x14ac:dyDescent="0.2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</row>
    <row r="103" spans="1:16" x14ac:dyDescent="0.2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</row>
    <row r="104" spans="1:16" x14ac:dyDescent="0.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</row>
    <row r="105" spans="1:16" x14ac:dyDescent="0.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</row>
  </sheetData>
  <sheetProtection algorithmName="SHA-512" hashValue="mg3WNQMUirlFLR7Vi0dQBm3WrA0XhyFcInI7IvqZoGkVFnqKsYzuX6eHMXSgfJtnldzbz/ZHUmcoSP4EUtDufA==" saltValue="7Iw+77qyE7eo4RKeJzUZGQ==" spinCount="100000" sheet="1" objects="1" scenarios="1"/>
  <mergeCells count="1">
    <mergeCell ref="C1:G1"/>
  </mergeCells>
  <dataValidations count="3">
    <dataValidation type="list" showInputMessage="1" showErrorMessage="1" sqref="D8" xr:uid="{00000000-0002-0000-0B00-000000000000}">
      <formula1>$O$7:$O$8</formula1>
    </dataValidation>
    <dataValidation type="list" allowBlank="1" showInputMessage="1" showErrorMessage="1" sqref="D22" xr:uid="{00000000-0002-0000-0B00-000001000000}">
      <formula1>$O$10:$O$11</formula1>
    </dataValidation>
    <dataValidation type="list" allowBlank="1" showInputMessage="1" showErrorMessage="1" sqref="I22" xr:uid="{00000000-0002-0000-0B00-000002000000}">
      <formula1>$O$13:$O$14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/>
  <dimension ref="A1:G19"/>
  <sheetViews>
    <sheetView workbookViewId="0">
      <selection activeCell="F14" sqref="F14"/>
    </sheetView>
  </sheetViews>
  <sheetFormatPr defaultRowHeight="12.75" x14ac:dyDescent="0.2"/>
  <cols>
    <col min="1" max="1" width="5.7109375" style="8" customWidth="1"/>
    <col min="2" max="2" width="21.7109375" style="8" customWidth="1"/>
    <col min="3" max="3" width="7.7109375" style="8" customWidth="1"/>
    <col min="4" max="4" width="28.7109375" style="8" customWidth="1"/>
    <col min="5" max="5" width="16.28515625" style="8" customWidth="1"/>
    <col min="6" max="6" width="21.7109375" style="8" customWidth="1"/>
    <col min="7" max="7" width="5.7109375" style="8" customWidth="1"/>
    <col min="8" max="16384" width="9.140625" style="8"/>
  </cols>
  <sheetData>
    <row r="1" spans="1:7" x14ac:dyDescent="0.2">
      <c r="B1" s="70" t="s">
        <v>320</v>
      </c>
      <c r="C1" s="70"/>
      <c r="D1" s="70"/>
      <c r="E1" s="70"/>
      <c r="F1" s="70"/>
    </row>
    <row r="2" spans="1:7" x14ac:dyDescent="0.2">
      <c r="B2" s="32"/>
      <c r="C2" s="32"/>
      <c r="D2" s="32"/>
      <c r="E2" s="32"/>
      <c r="F2" s="32"/>
    </row>
    <row r="3" spans="1:7" ht="22.5" x14ac:dyDescent="0.45">
      <c r="B3" s="71" t="s">
        <v>21</v>
      </c>
      <c r="C3" s="71"/>
      <c r="D3" s="71"/>
      <c r="E3" s="71"/>
      <c r="F3" s="71"/>
      <c r="G3" s="10"/>
    </row>
    <row r="4" spans="1:7" x14ac:dyDescent="0.2">
      <c r="A4" s="31"/>
      <c r="B4" s="70" t="s">
        <v>196</v>
      </c>
      <c r="C4" s="70"/>
      <c r="D4" s="70"/>
      <c r="E4" s="70"/>
      <c r="F4" s="70"/>
      <c r="G4" s="10"/>
    </row>
    <row r="5" spans="1:7" x14ac:dyDescent="0.2">
      <c r="A5" s="9"/>
      <c r="B5" s="32"/>
      <c r="C5" s="32"/>
      <c r="D5" s="32"/>
      <c r="E5" s="32"/>
      <c r="F5" s="32"/>
      <c r="G5" s="10"/>
    </row>
    <row r="6" spans="1:7" ht="13.5" thickBot="1" x14ac:dyDescent="0.25">
      <c r="D6" s="28"/>
      <c r="E6" s="14"/>
    </row>
    <row r="7" spans="1:7" ht="13.5" thickBot="1" x14ac:dyDescent="0.25">
      <c r="C7" s="23" t="s">
        <v>0</v>
      </c>
      <c r="D7" s="2">
        <v>2</v>
      </c>
      <c r="E7" s="29">
        <v>6</v>
      </c>
    </row>
    <row r="8" spans="1:7" x14ac:dyDescent="0.2">
      <c r="C8" s="13" t="s">
        <v>40</v>
      </c>
      <c r="D8" s="25">
        <f>IF(E7=1,D7,IF(E7=7,10*LOG(D7)+60,IF(E7=6,10*LOG(D7)+30,IF(E7=5,10*LOG(D7),IF(E7=4,10*LOG(D7)-30,IF(E7=3,10*LOG(D7)-60,IF(E7=2,10*LOG(D7)-90)))))))</f>
        <v>33.010299956639813</v>
      </c>
      <c r="E8" s="12" t="s">
        <v>14</v>
      </c>
      <c r="F8" s="12"/>
    </row>
    <row r="9" spans="1:7" x14ac:dyDescent="0.2">
      <c r="C9" s="13" t="s">
        <v>40</v>
      </c>
      <c r="D9" s="25">
        <f>D13*1000000000000</f>
        <v>2000000000000</v>
      </c>
      <c r="E9" s="13" t="s">
        <v>44</v>
      </c>
    </row>
    <row r="10" spans="1:7" x14ac:dyDescent="0.2">
      <c r="C10" s="13" t="s">
        <v>40</v>
      </c>
      <c r="D10" s="25">
        <f>D13*1000000000</f>
        <v>2000000000</v>
      </c>
      <c r="E10" s="13" t="s">
        <v>30</v>
      </c>
    </row>
    <row r="11" spans="1:7" x14ac:dyDescent="0.2">
      <c r="C11" s="13" t="s">
        <v>40</v>
      </c>
      <c r="D11" s="25">
        <f>D13*1000000</f>
        <v>2000000</v>
      </c>
      <c r="E11" s="12" t="s">
        <v>29</v>
      </c>
    </row>
    <row r="12" spans="1:7" x14ac:dyDescent="0.2">
      <c r="C12" s="13" t="s">
        <v>40</v>
      </c>
      <c r="D12" s="25">
        <f>D13*1000</f>
        <v>2000</v>
      </c>
      <c r="E12" s="13" t="s">
        <v>28</v>
      </c>
    </row>
    <row r="13" spans="1:7" s="12" customFormat="1" x14ac:dyDescent="0.2">
      <c r="C13" s="13" t="s">
        <v>40</v>
      </c>
      <c r="D13" s="25">
        <f>IF(E7=1,POWER(10,((D7-30)/10)),IF(E7=7,D7*1000,IF(E7=6,D7,IF(E7=5,D7/1000,IF(E7=4,D7/1000000,IF(E7=3,D7/1000000000,IF(E7=2,D7/1000000000000)))))))</f>
        <v>2</v>
      </c>
      <c r="E13" s="13" t="s">
        <v>27</v>
      </c>
    </row>
    <row r="14" spans="1:7" x14ac:dyDescent="0.2">
      <c r="C14" s="13" t="s">
        <v>40</v>
      </c>
      <c r="D14" s="25">
        <f>D13/1000</f>
        <v>2E-3</v>
      </c>
      <c r="E14" s="13" t="s">
        <v>26</v>
      </c>
      <c r="F14" s="12"/>
    </row>
    <row r="15" spans="1:7" x14ac:dyDescent="0.2">
      <c r="C15" s="13"/>
      <c r="D15" s="25"/>
      <c r="E15" s="13"/>
      <c r="F15" s="12"/>
    </row>
    <row r="16" spans="1:7" x14ac:dyDescent="0.2">
      <c r="D16" s="72"/>
      <c r="E16" s="72"/>
    </row>
    <row r="17" spans="2:6" x14ac:dyDescent="0.2">
      <c r="B17" s="70" t="s">
        <v>46</v>
      </c>
      <c r="C17" s="70"/>
      <c r="D17" s="70"/>
      <c r="E17" s="70"/>
      <c r="F17" s="70"/>
    </row>
    <row r="18" spans="2:6" x14ac:dyDescent="0.2">
      <c r="B18" s="70" t="s">
        <v>45</v>
      </c>
      <c r="C18" s="70"/>
      <c r="D18" s="70"/>
      <c r="E18" s="70"/>
      <c r="F18" s="70"/>
    </row>
    <row r="19" spans="2:6" x14ac:dyDescent="0.2">
      <c r="B19" s="70" t="s">
        <v>19</v>
      </c>
      <c r="C19" s="70"/>
      <c r="D19" s="70"/>
      <c r="E19" s="70"/>
      <c r="F19" s="70"/>
    </row>
  </sheetData>
  <sheetProtection algorithmName="SHA-512" hashValue="HzyxTqoVh1ugOI12fOHRdgU8NvWiVR/n/mqtIWDSttsxRFlIQyQpcAV1TbF0AIqZS4ENjSkUggsrgReJtntaTg==" saltValue="MxKpYSJ/zaA0q+k0fodH7Q==" spinCount="100000" sheet="1" objects="1" scenarios="1"/>
  <mergeCells count="7">
    <mergeCell ref="B1:F1"/>
    <mergeCell ref="B3:F3"/>
    <mergeCell ref="B19:F19"/>
    <mergeCell ref="D16:E16"/>
    <mergeCell ref="B18:F18"/>
    <mergeCell ref="B17:F17"/>
    <mergeCell ref="B4:F4"/>
  </mergeCells>
  <phoneticPr fontId="0" type="noConversion"/>
  <dataValidations count="1">
    <dataValidation type="decimal" operator="greaterThanOrEqual" allowBlank="1" showInputMessage="1" showErrorMessage="1" sqref="D7" xr:uid="{00000000-0002-0000-0100-000000000000}">
      <formula1>-200</formula1>
    </dataValidation>
  </dataValidations>
  <pageMargins left="0.75" right="0.75" top="1" bottom="1" header="0.5" footer="0.5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locked="0" defaultSize="0" autoLine="0" autoPict="0">
                <anchor moveWithCells="1">
                  <from>
                    <xdr:col>4</xdr:col>
                    <xdr:colOff>19050</xdr:colOff>
                    <xdr:row>5</xdr:row>
                    <xdr:rowOff>152400</xdr:rowOff>
                  </from>
                  <to>
                    <xdr:col>4</xdr:col>
                    <xdr:colOff>1076325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K36"/>
  <sheetViews>
    <sheetView workbookViewId="0">
      <selection activeCell="F43" sqref="F43"/>
    </sheetView>
  </sheetViews>
  <sheetFormatPr defaultRowHeight="12.75" x14ac:dyDescent="0.2"/>
  <cols>
    <col min="1" max="1" width="5.7109375" style="8" customWidth="1"/>
    <col min="2" max="2" width="10.7109375" style="8" customWidth="1"/>
    <col min="3" max="3" width="15.7109375" style="12" customWidth="1"/>
    <col min="4" max="4" width="10.7109375" style="8" customWidth="1"/>
    <col min="5" max="5" width="3.7109375" style="8" customWidth="1"/>
    <col min="6" max="6" width="12.7109375" style="8" customWidth="1"/>
    <col min="7" max="7" width="5.7109375" style="8" customWidth="1"/>
    <col min="8" max="8" width="7.7109375" style="30" customWidth="1"/>
    <col min="9" max="9" width="18.140625" style="8" customWidth="1"/>
    <col min="10" max="10" width="10.7109375" style="8" customWidth="1"/>
    <col min="11" max="11" width="5.7109375" style="8" customWidth="1"/>
    <col min="12" max="16384" width="9.140625" style="8"/>
  </cols>
  <sheetData>
    <row r="1" spans="1:11" x14ac:dyDescent="0.2">
      <c r="B1" s="70" t="s">
        <v>320</v>
      </c>
      <c r="C1" s="70"/>
      <c r="D1" s="70"/>
      <c r="E1" s="70"/>
      <c r="F1" s="70"/>
      <c r="G1" s="70"/>
      <c r="H1" s="70"/>
      <c r="I1" s="70"/>
      <c r="J1" s="70"/>
    </row>
    <row r="2" spans="1:11" x14ac:dyDescent="0.2">
      <c r="B2" s="32"/>
      <c r="C2" s="32"/>
      <c r="D2" s="32"/>
      <c r="E2" s="32"/>
      <c r="F2" s="32"/>
      <c r="G2" s="32"/>
      <c r="H2" s="32"/>
      <c r="I2" s="32"/>
      <c r="J2" s="32"/>
    </row>
    <row r="3" spans="1:11" ht="22.5" x14ac:dyDescent="0.45">
      <c r="A3" s="31"/>
      <c r="B3" s="71" t="s">
        <v>88</v>
      </c>
      <c r="C3" s="71"/>
      <c r="D3" s="71"/>
      <c r="E3" s="71"/>
      <c r="F3" s="71"/>
      <c r="G3" s="71"/>
      <c r="H3" s="71"/>
      <c r="I3" s="71"/>
      <c r="J3" s="71"/>
      <c r="K3" s="27"/>
    </row>
    <row r="4" spans="1:11" x14ac:dyDescent="0.2">
      <c r="A4" s="31"/>
      <c r="B4" s="70" t="s">
        <v>200</v>
      </c>
      <c r="C4" s="70"/>
      <c r="D4" s="70"/>
      <c r="E4" s="70"/>
      <c r="F4" s="70"/>
      <c r="G4" s="70"/>
      <c r="H4" s="70"/>
      <c r="I4" s="70"/>
      <c r="J4" s="70"/>
    </row>
    <row r="5" spans="1:11" x14ac:dyDescent="0.2">
      <c r="A5" s="9"/>
      <c r="B5" s="32"/>
      <c r="C5" s="32"/>
      <c r="D5" s="32"/>
      <c r="E5" s="32"/>
      <c r="F5" s="32"/>
      <c r="G5" s="32"/>
      <c r="H5" s="32"/>
      <c r="I5" s="32"/>
      <c r="J5" s="32"/>
    </row>
    <row r="6" spans="1:11" ht="13.5" thickBot="1" x14ac:dyDescent="0.25"/>
    <row r="7" spans="1:11" ht="13.5" thickBot="1" x14ac:dyDescent="0.25">
      <c r="B7" s="17" t="s">
        <v>0</v>
      </c>
      <c r="C7" s="12" t="s">
        <v>6</v>
      </c>
      <c r="D7" s="3">
        <v>1700</v>
      </c>
      <c r="E7" s="8" t="s">
        <v>11</v>
      </c>
      <c r="G7" s="23" t="s">
        <v>0</v>
      </c>
      <c r="H7" s="42">
        <v>2</v>
      </c>
      <c r="I7" s="24">
        <v>1</v>
      </c>
    </row>
    <row r="8" spans="1:11" ht="13.5" thickBot="1" x14ac:dyDescent="0.25">
      <c r="B8" s="17" t="s">
        <v>0</v>
      </c>
      <c r="C8" s="12" t="s">
        <v>7</v>
      </c>
      <c r="D8" s="4">
        <v>190</v>
      </c>
      <c r="E8" s="8" t="s">
        <v>11</v>
      </c>
      <c r="G8" s="11" t="s">
        <v>50</v>
      </c>
      <c r="H8" s="37">
        <f>IF(I7=1,H7,IF(I7=2,(1+SQRT(POWER(10,-ABS(H7)/10)))/(1-SQRT(POWER(10,-ABS(H7)/10))),IF(I7=3,(1+SQRT(1-H7/100))/(1-SQRT(1-H7/100)),IF(I7=4,(1+H7)/(1-H7)))))</f>
        <v>2</v>
      </c>
      <c r="I8" s="14" t="s">
        <v>2</v>
      </c>
      <c r="K8" s="16"/>
    </row>
    <row r="9" spans="1:11" s="16" customFormat="1" x14ac:dyDescent="0.2">
      <c r="B9" s="12" t="s">
        <v>1</v>
      </c>
      <c r="C9" s="12" t="s">
        <v>2</v>
      </c>
      <c r="D9" s="14">
        <f>(1+D12)/(1-D12)</f>
        <v>2.0044117742189571</v>
      </c>
      <c r="E9" s="12"/>
      <c r="G9" s="11" t="s">
        <v>50</v>
      </c>
      <c r="H9" s="37">
        <f>IF(I7=1,10*LOG(POWER(((H7-1)/(H7+1)),2)),IF(I7=2,-ABS(H7),IF(I7=3,10*LOG(1-H7/100),IF(I7=4,10*LOG(POWER(H7,2))))))</f>
        <v>-9.5424250943932485</v>
      </c>
      <c r="I9" s="14" t="s">
        <v>86</v>
      </c>
      <c r="J9" s="8"/>
    </row>
    <row r="10" spans="1:11" s="16" customFormat="1" x14ac:dyDescent="0.2">
      <c r="B10" s="12" t="s">
        <v>1</v>
      </c>
      <c r="C10" s="12" t="s">
        <v>3</v>
      </c>
      <c r="D10" s="14">
        <f>10*LOG(D8/D7)</f>
        <v>-9.5169532042544489</v>
      </c>
      <c r="E10" s="12" t="s">
        <v>8</v>
      </c>
      <c r="G10" s="11" t="s">
        <v>50</v>
      </c>
      <c r="H10" s="37">
        <f>IF(I7=1,100*(1-POWER((H7-1)/(H7+1),2)),IF(I7=2,100*(1-POWER(10,-ABS(H7)/10)),IF(I7=3,H7,IF(I7=4,100*(1-POWER(H7,2))))))</f>
        <v>88.888888888888886</v>
      </c>
      <c r="I10" s="14" t="s">
        <v>87</v>
      </c>
      <c r="J10" s="8"/>
      <c r="K10" s="8"/>
    </row>
    <row r="11" spans="1:11" x14ac:dyDescent="0.2">
      <c r="B11" s="12" t="s">
        <v>1</v>
      </c>
      <c r="C11" s="12" t="s">
        <v>4</v>
      </c>
      <c r="D11" s="14">
        <f>100*(1-D8/D7)</f>
        <v>88.823529411764696</v>
      </c>
      <c r="E11" s="12" t="s">
        <v>9</v>
      </c>
      <c r="F11" s="16"/>
      <c r="G11" s="11" t="s">
        <v>50</v>
      </c>
      <c r="H11" s="37">
        <f>IF(I7=1,(H7-1)/(H7+1),IF(I7=2,SQRT(POWER(10,-ABS(H7)/10)),IF(I7=3,SQRT(1-H7/100),IF(I7=4,H7))))</f>
        <v>0.33333333333333331</v>
      </c>
      <c r="I11" s="14" t="s">
        <v>5</v>
      </c>
      <c r="J11" s="12"/>
    </row>
    <row r="12" spans="1:11" x14ac:dyDescent="0.2">
      <c r="B12" s="12" t="s">
        <v>1</v>
      </c>
      <c r="C12" s="12" t="s">
        <v>5</v>
      </c>
      <c r="D12" s="14">
        <f>SQRT(D8/D7)</f>
        <v>0.33431228796194873</v>
      </c>
      <c r="E12" s="16"/>
      <c r="F12" s="16"/>
    </row>
    <row r="13" spans="1:11" x14ac:dyDescent="0.2">
      <c r="B13" s="12"/>
      <c r="D13" s="14"/>
      <c r="E13" s="16"/>
      <c r="F13" s="16"/>
    </row>
    <row r="14" spans="1:11" ht="13.5" thickBot="1" x14ac:dyDescent="0.25">
      <c r="B14" s="12"/>
      <c r="D14" s="14"/>
      <c r="E14" s="16"/>
      <c r="F14" s="16"/>
    </row>
    <row r="15" spans="1:11" ht="13.5" thickBot="1" x14ac:dyDescent="0.25">
      <c r="B15" s="17" t="s">
        <v>0</v>
      </c>
      <c r="C15" s="13" t="s">
        <v>12</v>
      </c>
      <c r="D15" s="5">
        <v>12000</v>
      </c>
      <c r="E15" s="14" t="s">
        <v>11</v>
      </c>
      <c r="F15" s="16"/>
      <c r="G15" s="21" t="s">
        <v>18</v>
      </c>
      <c r="H15" s="33"/>
    </row>
    <row r="16" spans="1:11" x14ac:dyDescent="0.2">
      <c r="B16" s="12" t="s">
        <v>1</v>
      </c>
      <c r="C16" s="13" t="s">
        <v>12</v>
      </c>
      <c r="D16" s="14">
        <f>10*LOG(D15)+30</f>
        <v>70.791812460476251</v>
      </c>
      <c r="E16" s="14" t="s">
        <v>14</v>
      </c>
      <c r="F16" s="16"/>
      <c r="G16" s="21" t="s">
        <v>22</v>
      </c>
      <c r="H16" s="33"/>
    </row>
    <row r="17" spans="2:8" ht="13.5" thickBot="1" x14ac:dyDescent="0.25">
      <c r="B17" s="16"/>
      <c r="D17" s="16"/>
      <c r="E17" s="16"/>
      <c r="F17" s="16"/>
      <c r="G17" s="21" t="s">
        <v>23</v>
      </c>
      <c r="H17" s="33"/>
    </row>
    <row r="18" spans="2:8" ht="13.5" thickBot="1" x14ac:dyDescent="0.25">
      <c r="B18" s="17" t="s">
        <v>0</v>
      </c>
      <c r="C18" s="13" t="s">
        <v>12</v>
      </c>
      <c r="D18" s="5">
        <v>15.29</v>
      </c>
      <c r="E18" s="14" t="s">
        <v>14</v>
      </c>
      <c r="F18" s="16"/>
      <c r="G18" s="21" t="s">
        <v>89</v>
      </c>
      <c r="H18" s="33"/>
    </row>
    <row r="19" spans="2:8" x14ac:dyDescent="0.2">
      <c r="B19" s="12" t="s">
        <v>1</v>
      </c>
      <c r="C19" s="13" t="s">
        <v>12</v>
      </c>
      <c r="D19" s="14">
        <f>POWER(10,((D18-30)/10))</f>
        <v>3.3806483620598148E-2</v>
      </c>
      <c r="E19" s="14" t="s">
        <v>11</v>
      </c>
      <c r="G19" s="21" t="s">
        <v>25</v>
      </c>
      <c r="H19" s="33"/>
    </row>
    <row r="20" spans="2:8" x14ac:dyDescent="0.2">
      <c r="G20" s="21" t="s">
        <v>90</v>
      </c>
      <c r="H20" s="33"/>
    </row>
    <row r="21" spans="2:8" x14ac:dyDescent="0.2">
      <c r="B21" s="21" t="s">
        <v>19</v>
      </c>
      <c r="G21" s="21" t="s">
        <v>24</v>
      </c>
      <c r="H21" s="33"/>
    </row>
    <row r="22" spans="2:8" x14ac:dyDescent="0.2">
      <c r="H22" s="8"/>
    </row>
    <row r="23" spans="2:8" x14ac:dyDescent="0.2">
      <c r="H23" s="8"/>
    </row>
    <row r="31" spans="2:8" x14ac:dyDescent="0.2">
      <c r="C31" s="8"/>
    </row>
    <row r="32" spans="2:8" s="12" customFormat="1" x14ac:dyDescent="0.2">
      <c r="H32" s="14"/>
    </row>
    <row r="33" spans="3:8" x14ac:dyDescent="0.2">
      <c r="C33" s="8"/>
    </row>
    <row r="34" spans="3:8" x14ac:dyDescent="0.2">
      <c r="C34" s="8"/>
    </row>
    <row r="35" spans="3:8" x14ac:dyDescent="0.2">
      <c r="C35" s="8"/>
    </row>
    <row r="36" spans="3:8" s="12" customFormat="1" x14ac:dyDescent="0.2">
      <c r="H36" s="14"/>
    </row>
  </sheetData>
  <sheetProtection algorithmName="SHA-512" hashValue="MofawsdHwSUSR4AylUGOIV1NbtxlQO7xAj+CRb6puW1/LRTt10Gr1i/QRN80UDbYo4tpsYRgr1cO+Rrb8pQiCg==" saltValue="pORjuncH1t0eIlKCWHvFJQ==" spinCount="100000" sheet="1" objects="1" scenarios="1"/>
  <mergeCells count="3">
    <mergeCell ref="B4:J4"/>
    <mergeCell ref="B3:J3"/>
    <mergeCell ref="B1:J1"/>
  </mergeCells>
  <phoneticPr fontId="0" type="noConversion"/>
  <dataValidations count="2">
    <dataValidation type="decimal" operator="greaterThanOrEqual" allowBlank="1" showInputMessage="1" showErrorMessage="1" sqref="D7:D8 D15" xr:uid="{00000000-0002-0000-0200-000000000000}">
      <formula1>0</formula1>
    </dataValidation>
    <dataValidation type="decimal" operator="greaterThanOrEqual" allowBlank="1" showInputMessage="1" showErrorMessage="1" sqref="D18 H7" xr:uid="{00000000-0002-0000-0200-000001000000}">
      <formula1>-200</formula1>
    </dataValidation>
  </dataValidations>
  <pageMargins left="0.75" right="0.75" top="1" bottom="1" header="0.5" footer="0.5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Drop Down 1">
              <controlPr locked="0" defaultSize="0" autoLine="0" autoPict="0">
                <anchor moveWithCells="1">
                  <from>
                    <xdr:col>8</xdr:col>
                    <xdr:colOff>28575</xdr:colOff>
                    <xdr:row>5</xdr:row>
                    <xdr:rowOff>152400</xdr:rowOff>
                  </from>
                  <to>
                    <xdr:col>9</xdr:col>
                    <xdr:colOff>38100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H18"/>
  <sheetViews>
    <sheetView workbookViewId="0">
      <selection activeCell="E8" sqref="E8"/>
    </sheetView>
  </sheetViews>
  <sheetFormatPr defaultRowHeight="12.75" x14ac:dyDescent="0.2"/>
  <cols>
    <col min="1" max="1" width="5.7109375" style="8" customWidth="1"/>
    <col min="2" max="2" width="18.7109375" style="8" customWidth="1"/>
    <col min="3" max="3" width="5.7109375" style="8" customWidth="1"/>
    <col min="4" max="4" width="12.85546875" style="8" customWidth="1"/>
    <col min="5" max="5" width="18.7109375" style="22" customWidth="1"/>
    <col min="6" max="6" width="15.85546875" style="8" customWidth="1"/>
    <col min="7" max="7" width="5.7109375" style="8" customWidth="1"/>
    <col min="8" max="8" width="18.7109375" style="8" customWidth="1"/>
    <col min="9" max="9" width="5.7109375" style="8" customWidth="1"/>
    <col min="10" max="16384" width="9.140625" style="8"/>
  </cols>
  <sheetData>
    <row r="1" spans="1:8" x14ac:dyDescent="0.2">
      <c r="B1" s="70" t="s">
        <v>320</v>
      </c>
      <c r="C1" s="70"/>
      <c r="D1" s="70"/>
      <c r="E1" s="70"/>
      <c r="F1" s="70"/>
      <c r="G1" s="70"/>
      <c r="H1" s="70"/>
    </row>
    <row r="2" spans="1:8" x14ac:dyDescent="0.2">
      <c r="B2" s="32"/>
      <c r="C2" s="32"/>
      <c r="D2" s="32"/>
      <c r="E2" s="32"/>
      <c r="F2" s="32"/>
      <c r="G2" s="32"/>
      <c r="H2" s="32"/>
    </row>
    <row r="3" spans="1:8" ht="22.5" x14ac:dyDescent="0.45">
      <c r="B3" s="71" t="s">
        <v>43</v>
      </c>
      <c r="C3" s="71"/>
      <c r="D3" s="71"/>
      <c r="E3" s="71"/>
      <c r="F3" s="71"/>
      <c r="G3" s="71"/>
      <c r="H3" s="71"/>
    </row>
    <row r="4" spans="1:8" x14ac:dyDescent="0.2">
      <c r="A4" s="31"/>
      <c r="B4" s="70" t="s">
        <v>195</v>
      </c>
      <c r="C4" s="70"/>
      <c r="D4" s="70"/>
      <c r="E4" s="70"/>
      <c r="F4" s="70"/>
      <c r="G4" s="70"/>
      <c r="H4" s="70"/>
    </row>
    <row r="5" spans="1:8" x14ac:dyDescent="0.2">
      <c r="A5" s="9"/>
      <c r="B5" s="9"/>
      <c r="C5" s="10"/>
      <c r="D5" s="10"/>
      <c r="E5" s="32"/>
      <c r="F5" s="10"/>
      <c r="G5" s="10"/>
    </row>
    <row r="6" spans="1:8" ht="13.5" thickBot="1" x14ac:dyDescent="0.25">
      <c r="C6" s="10"/>
      <c r="D6" s="10"/>
      <c r="E6" s="26"/>
      <c r="F6" s="10"/>
    </row>
    <row r="7" spans="1:8" ht="13.5" thickBot="1" x14ac:dyDescent="0.25">
      <c r="D7" s="23" t="s">
        <v>0</v>
      </c>
      <c r="E7" s="1">
        <v>91.1</v>
      </c>
      <c r="F7" s="24">
        <v>2</v>
      </c>
    </row>
    <row r="8" spans="1:8" x14ac:dyDescent="0.2">
      <c r="D8" s="13" t="s">
        <v>31</v>
      </c>
      <c r="E8" s="25">
        <f>E9*1000</f>
        <v>91100</v>
      </c>
      <c r="F8" s="14" t="s">
        <v>33</v>
      </c>
    </row>
    <row r="9" spans="1:8" x14ac:dyDescent="0.2">
      <c r="D9" s="13" t="s">
        <v>31</v>
      </c>
      <c r="E9" s="25">
        <f>IF(F7=1,E7/1000,IF(F7=2,E7,IF(F7=3,E7*1000,IF(F7=4,300/E7,IF(F7=5,30000/E7,IF(F7=6,984/E7,IF(F7=7,984*12/E7)))))))</f>
        <v>91.1</v>
      </c>
      <c r="F9" s="14" t="s">
        <v>34</v>
      </c>
    </row>
    <row r="10" spans="1:8" x14ac:dyDescent="0.2">
      <c r="D10" s="13" t="s">
        <v>31</v>
      </c>
      <c r="E10" s="25">
        <f>E9/1000</f>
        <v>9.11E-2</v>
      </c>
      <c r="F10" s="14" t="s">
        <v>35</v>
      </c>
    </row>
    <row r="11" spans="1:8" s="12" customFormat="1" x14ac:dyDescent="0.2">
      <c r="D11" s="13" t="s">
        <v>32</v>
      </c>
      <c r="E11" s="25">
        <f>IF(F7=1,300000/E7,IF(F7=2,300/E7,IF(F7=3,0.3/E7,IF(F7=4,E7,IF(F7=5,E7/100,IF(F7=6,E7*0.3048,IF(F7=7,E7*0.3048/12)))))))</f>
        <v>3.2930845225027445</v>
      </c>
      <c r="F11" s="14" t="s">
        <v>36</v>
      </c>
    </row>
    <row r="12" spans="1:8" x14ac:dyDescent="0.2">
      <c r="D12" s="13" t="s">
        <v>32</v>
      </c>
      <c r="E12" s="25">
        <f>E11*100</f>
        <v>329.30845225027446</v>
      </c>
      <c r="F12" s="14" t="s">
        <v>37</v>
      </c>
    </row>
    <row r="13" spans="1:8" x14ac:dyDescent="0.2">
      <c r="D13" s="13" t="s">
        <v>32</v>
      </c>
      <c r="E13" s="25">
        <f>E11/0.3048</f>
        <v>10.804083079077245</v>
      </c>
      <c r="F13" s="14" t="s">
        <v>38</v>
      </c>
    </row>
    <row r="14" spans="1:8" x14ac:dyDescent="0.2">
      <c r="D14" s="13" t="s">
        <v>32</v>
      </c>
      <c r="E14" s="25">
        <f>12*E11/0.3048</f>
        <v>129.64899694892694</v>
      </c>
      <c r="F14" s="14" t="s">
        <v>39</v>
      </c>
    </row>
    <row r="15" spans="1:8" x14ac:dyDescent="0.2">
      <c r="D15" s="13"/>
      <c r="E15" s="25"/>
      <c r="F15" s="14"/>
    </row>
    <row r="17" spans="3:7" x14ac:dyDescent="0.2">
      <c r="C17" s="70" t="s">
        <v>41</v>
      </c>
      <c r="D17" s="70"/>
      <c r="E17" s="70"/>
      <c r="F17" s="70"/>
      <c r="G17" s="70"/>
    </row>
    <row r="18" spans="3:7" x14ac:dyDescent="0.2">
      <c r="C18" s="70" t="s">
        <v>42</v>
      </c>
      <c r="D18" s="70"/>
      <c r="E18" s="70"/>
      <c r="F18" s="70"/>
      <c r="G18" s="70"/>
    </row>
  </sheetData>
  <sheetProtection algorithmName="SHA-512" hashValue="k78HnIxOYr2rFyN19jxlJ6RVogunMRUKY5gqyj8IxTUKhZy3AIbJ/M/2dog3EMN9TxcA3U09NUocBcezoyF6YQ==" saltValue="gxfLCj6jK62cC9MVMw1kpA==" spinCount="100000" sheet="1" objects="1" scenarios="1"/>
  <mergeCells count="5">
    <mergeCell ref="B1:H1"/>
    <mergeCell ref="C17:G17"/>
    <mergeCell ref="C18:G18"/>
    <mergeCell ref="B4:H4"/>
    <mergeCell ref="B3:H3"/>
  </mergeCells>
  <phoneticPr fontId="0" type="noConversion"/>
  <dataValidations count="1">
    <dataValidation type="decimal" operator="greaterThanOrEqual" allowBlank="1" showInputMessage="1" showErrorMessage="1" sqref="E7" xr:uid="{00000000-0002-0000-0300-000000000000}">
      <formula1>0</formula1>
    </dataValidation>
  </dataValidations>
  <pageMargins left="0.75" right="0.75" top="1" bottom="1" header="0.5" footer="0.5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locked="0" defaultSize="0" autoLine="0" autoPict="0">
                <anchor moveWithCells="1">
                  <from>
                    <xdr:col>5</xdr:col>
                    <xdr:colOff>28575</xdr:colOff>
                    <xdr:row>5</xdr:row>
                    <xdr:rowOff>152400</xdr:rowOff>
                  </from>
                  <to>
                    <xdr:col>6</xdr:col>
                    <xdr:colOff>9525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22"/>
  <sheetViews>
    <sheetView workbookViewId="0"/>
  </sheetViews>
  <sheetFormatPr defaultRowHeight="12.75" x14ac:dyDescent="0.2"/>
  <cols>
    <col min="1" max="1" width="7.7109375" style="8" customWidth="1"/>
    <col min="2" max="2" width="10.7109375" style="8" customWidth="1"/>
    <col min="3" max="3" width="13.7109375" style="13" customWidth="1"/>
    <col min="4" max="4" width="10.7109375" style="14" customWidth="1"/>
    <col min="5" max="5" width="6.7109375" style="14" customWidth="1"/>
    <col min="6" max="6" width="8.42578125" style="14" customWidth="1"/>
    <col min="7" max="7" width="10.7109375" style="8" customWidth="1"/>
    <col min="8" max="8" width="13.85546875" style="12" customWidth="1"/>
    <col min="9" max="9" width="10.7109375" style="8" customWidth="1"/>
    <col min="10" max="10" width="6.7109375" style="12" customWidth="1"/>
    <col min="11" max="11" width="7.7109375" style="8" customWidth="1"/>
    <col min="12" max="16384" width="9.140625" style="8"/>
  </cols>
  <sheetData>
    <row r="1" spans="1:10" x14ac:dyDescent="0.2">
      <c r="B1" s="70" t="s">
        <v>320</v>
      </c>
      <c r="C1" s="70"/>
      <c r="D1" s="70"/>
      <c r="E1" s="70"/>
      <c r="F1" s="70"/>
      <c r="G1" s="70"/>
      <c r="H1" s="70"/>
      <c r="I1" s="70"/>
      <c r="J1" s="70"/>
    </row>
    <row r="2" spans="1:10" x14ac:dyDescent="0.2">
      <c r="B2" s="32"/>
      <c r="C2" s="32"/>
      <c r="D2" s="32"/>
      <c r="E2" s="32"/>
      <c r="F2" s="32"/>
      <c r="G2" s="32"/>
      <c r="H2" s="32"/>
      <c r="I2" s="32"/>
      <c r="J2" s="32"/>
    </row>
    <row r="3" spans="1:10" ht="22.5" x14ac:dyDescent="0.45">
      <c r="B3" s="71" t="s">
        <v>20</v>
      </c>
      <c r="C3" s="71"/>
      <c r="D3" s="71"/>
      <c r="E3" s="71"/>
      <c r="F3" s="71"/>
      <c r="G3" s="71"/>
      <c r="H3" s="71"/>
      <c r="I3" s="71"/>
      <c r="J3" s="71"/>
    </row>
    <row r="4" spans="1:10" x14ac:dyDescent="0.2">
      <c r="A4" s="31"/>
      <c r="B4" s="70" t="s">
        <v>198</v>
      </c>
      <c r="C4" s="70"/>
      <c r="D4" s="70"/>
      <c r="E4" s="70"/>
      <c r="F4" s="70"/>
      <c r="G4" s="70"/>
      <c r="H4" s="70"/>
      <c r="I4" s="70"/>
      <c r="J4" s="70"/>
    </row>
    <row r="5" spans="1:10" x14ac:dyDescent="0.2">
      <c r="B5" s="10"/>
      <c r="C5" s="15"/>
      <c r="D5" s="10"/>
      <c r="E5" s="10"/>
      <c r="F5" s="10"/>
      <c r="G5" s="10"/>
      <c r="H5" s="15"/>
      <c r="I5" s="10"/>
      <c r="J5" s="15"/>
    </row>
    <row r="6" spans="1:10" ht="13.5" thickBot="1" x14ac:dyDescent="0.25">
      <c r="B6" s="10"/>
      <c r="C6" s="15"/>
      <c r="D6" s="10"/>
      <c r="E6" s="10"/>
      <c r="F6" s="10"/>
      <c r="G6" s="10"/>
      <c r="H6" s="15"/>
      <c r="I6" s="10"/>
      <c r="J6" s="15"/>
    </row>
    <row r="7" spans="1:10" s="16" customFormat="1" x14ac:dyDescent="0.2">
      <c r="B7" s="17" t="s">
        <v>0</v>
      </c>
      <c r="C7" s="13" t="s">
        <v>10</v>
      </c>
      <c r="D7" s="6">
        <v>100</v>
      </c>
      <c r="E7" s="14" t="s">
        <v>11</v>
      </c>
      <c r="F7" s="18"/>
      <c r="G7" s="17" t="s">
        <v>0</v>
      </c>
      <c r="H7" s="13" t="s">
        <v>10</v>
      </c>
      <c r="I7" s="6">
        <v>100</v>
      </c>
      <c r="J7" s="14" t="s">
        <v>11</v>
      </c>
    </row>
    <row r="8" spans="1:10" s="16" customFormat="1" ht="13.5" thickBot="1" x14ac:dyDescent="0.25">
      <c r="B8" s="17" t="s">
        <v>0</v>
      </c>
      <c r="C8" s="13" t="s">
        <v>15</v>
      </c>
      <c r="D8" s="7">
        <v>3.2000000000000002E-3</v>
      </c>
      <c r="E8" s="14" t="s">
        <v>11</v>
      </c>
      <c r="F8" s="18"/>
      <c r="G8" s="17" t="s">
        <v>0</v>
      </c>
      <c r="H8" s="13" t="s">
        <v>13</v>
      </c>
      <c r="I8" s="7">
        <v>45</v>
      </c>
      <c r="J8" s="14" t="s">
        <v>8</v>
      </c>
    </row>
    <row r="9" spans="1:10" s="16" customFormat="1" x14ac:dyDescent="0.2">
      <c r="B9" s="12" t="s">
        <v>1</v>
      </c>
      <c r="C9" s="13" t="s">
        <v>10</v>
      </c>
      <c r="D9" s="14">
        <f>10*LOG(D7)+30</f>
        <v>50</v>
      </c>
      <c r="E9" s="14" t="s">
        <v>14</v>
      </c>
      <c r="F9" s="18"/>
      <c r="G9" s="12" t="s">
        <v>1</v>
      </c>
      <c r="H9" s="13" t="s">
        <v>10</v>
      </c>
      <c r="I9" s="14">
        <f>10*LOG(I7)+30</f>
        <v>50</v>
      </c>
      <c r="J9" s="14" t="s">
        <v>14</v>
      </c>
    </row>
    <row r="10" spans="1:10" s="16" customFormat="1" x14ac:dyDescent="0.2">
      <c r="B10" s="12" t="s">
        <v>1</v>
      </c>
      <c r="C10" s="13" t="s">
        <v>15</v>
      </c>
      <c r="D10" s="14">
        <f>10*LOG(D8)+30</f>
        <v>5.0514997831990591</v>
      </c>
      <c r="E10" s="14" t="s">
        <v>14</v>
      </c>
      <c r="F10" s="18"/>
      <c r="G10" s="12" t="s">
        <v>1</v>
      </c>
      <c r="H10" s="13" t="s">
        <v>15</v>
      </c>
      <c r="I10" s="14">
        <f>(10*LOG(I7)+30-I8)</f>
        <v>5</v>
      </c>
      <c r="J10" s="14" t="s">
        <v>14</v>
      </c>
    </row>
    <row r="11" spans="1:10" s="12" customFormat="1" x14ac:dyDescent="0.2">
      <c r="B11" s="12" t="s">
        <v>1</v>
      </c>
      <c r="C11" s="13" t="s">
        <v>13</v>
      </c>
      <c r="D11" s="14">
        <f>D9-D10</f>
        <v>44.948500216800937</v>
      </c>
      <c r="E11" s="14" t="s">
        <v>8</v>
      </c>
      <c r="F11" s="14"/>
      <c r="G11" s="12" t="s">
        <v>1</v>
      </c>
      <c r="H11" s="13" t="s">
        <v>15</v>
      </c>
      <c r="I11" s="14">
        <f>POWER(10,((I10)-30)/10)</f>
        <v>3.1622776601683764E-3</v>
      </c>
      <c r="J11" s="14" t="s">
        <v>11</v>
      </c>
    </row>
    <row r="12" spans="1:10" s="16" customFormat="1" x14ac:dyDescent="0.2">
      <c r="C12" s="13"/>
      <c r="D12" s="18"/>
      <c r="E12" s="18"/>
      <c r="F12" s="18"/>
      <c r="H12" s="13"/>
      <c r="I12" s="18"/>
      <c r="J12" s="14"/>
    </row>
    <row r="13" spans="1:10" ht="13.5" thickBot="1" x14ac:dyDescent="0.25">
      <c r="B13" s="10"/>
      <c r="C13" s="15"/>
      <c r="D13" s="10"/>
      <c r="E13" s="10"/>
      <c r="F13" s="10"/>
      <c r="G13" s="10"/>
      <c r="H13" s="15"/>
      <c r="I13" s="10"/>
      <c r="J13" s="15"/>
    </row>
    <row r="14" spans="1:10" s="16" customFormat="1" ht="13.5" thickBot="1" x14ac:dyDescent="0.25">
      <c r="B14" s="17" t="s">
        <v>0</v>
      </c>
      <c r="C14" s="13" t="s">
        <v>12</v>
      </c>
      <c r="D14" s="5">
        <v>50</v>
      </c>
      <c r="E14" s="14" t="s">
        <v>11</v>
      </c>
      <c r="F14" s="10"/>
      <c r="G14" s="17" t="s">
        <v>0</v>
      </c>
      <c r="H14" s="13" t="s">
        <v>15</v>
      </c>
      <c r="I14" s="6">
        <v>25</v>
      </c>
      <c r="J14" s="14" t="s">
        <v>11</v>
      </c>
    </row>
    <row r="15" spans="1:10" s="12" customFormat="1" ht="13.5" thickBot="1" x14ac:dyDescent="0.25">
      <c r="B15" s="12" t="s">
        <v>1</v>
      </c>
      <c r="C15" s="13" t="s">
        <v>12</v>
      </c>
      <c r="D15" s="14">
        <f>10*LOG(D14)+30</f>
        <v>46.989700043360187</v>
      </c>
      <c r="E15" s="14" t="s">
        <v>14</v>
      </c>
      <c r="F15" s="15"/>
      <c r="G15" s="17" t="s">
        <v>0</v>
      </c>
      <c r="H15" s="13" t="s">
        <v>13</v>
      </c>
      <c r="I15" s="7">
        <v>3</v>
      </c>
      <c r="J15" s="14" t="s">
        <v>8</v>
      </c>
    </row>
    <row r="16" spans="1:10" s="12" customFormat="1" ht="13.5" thickBot="1" x14ac:dyDescent="0.25">
      <c r="C16" s="13"/>
      <c r="D16" s="14"/>
      <c r="E16" s="14"/>
      <c r="F16" s="15"/>
      <c r="G16" s="12" t="s">
        <v>1</v>
      </c>
      <c r="H16" s="13" t="s">
        <v>15</v>
      </c>
      <c r="I16" s="14">
        <f>10*LOG(I14)+30</f>
        <v>43.979400086720375</v>
      </c>
      <c r="J16" s="14" t="s">
        <v>14</v>
      </c>
    </row>
    <row r="17" spans="2:10" s="12" customFormat="1" ht="13.5" thickBot="1" x14ac:dyDescent="0.25">
      <c r="B17" s="17" t="s">
        <v>0</v>
      </c>
      <c r="C17" s="13" t="s">
        <v>12</v>
      </c>
      <c r="D17" s="5">
        <v>47</v>
      </c>
      <c r="E17" s="14" t="s">
        <v>14</v>
      </c>
      <c r="F17" s="15"/>
      <c r="G17" s="12" t="s">
        <v>1</v>
      </c>
      <c r="H17" s="13" t="s">
        <v>10</v>
      </c>
      <c r="I17" s="14">
        <f>(10*LOG(I14)+30+I15)</f>
        <v>46.979400086720375</v>
      </c>
      <c r="J17" s="14" t="s">
        <v>14</v>
      </c>
    </row>
    <row r="18" spans="2:10" s="12" customFormat="1" x14ac:dyDescent="0.2">
      <c r="B18" s="12" t="s">
        <v>1</v>
      </c>
      <c r="C18" s="13" t="s">
        <v>12</v>
      </c>
      <c r="D18" s="14">
        <f>POWER(10,((D17-30)/10))</f>
        <v>50.118723362727238</v>
      </c>
      <c r="E18" s="14" t="s">
        <v>11</v>
      </c>
      <c r="F18" s="15"/>
      <c r="G18" s="12" t="s">
        <v>1</v>
      </c>
      <c r="H18" s="13" t="s">
        <v>10</v>
      </c>
      <c r="I18" s="14">
        <f>POWER(10,((I17)-30)/10)</f>
        <v>49.88155787422199</v>
      </c>
      <c r="J18" s="14" t="s">
        <v>11</v>
      </c>
    </row>
    <row r="19" spans="2:10" s="12" customFormat="1" x14ac:dyDescent="0.2">
      <c r="C19" s="13"/>
      <c r="D19" s="14"/>
      <c r="E19" s="14"/>
      <c r="F19" s="15"/>
      <c r="H19" s="13"/>
      <c r="I19" s="14"/>
      <c r="J19" s="14"/>
    </row>
    <row r="20" spans="2:10" s="12" customFormat="1" x14ac:dyDescent="0.2">
      <c r="C20" s="13"/>
      <c r="D20" s="14"/>
      <c r="E20" s="14"/>
      <c r="F20" s="14"/>
    </row>
    <row r="21" spans="2:10" x14ac:dyDescent="0.2">
      <c r="B21" s="70" t="s">
        <v>17</v>
      </c>
      <c r="C21" s="70"/>
      <c r="D21" s="70"/>
      <c r="E21" s="70"/>
      <c r="F21" s="70"/>
      <c r="G21" s="70"/>
      <c r="H21" s="70"/>
      <c r="I21" s="70"/>
      <c r="J21" s="70"/>
    </row>
    <row r="22" spans="2:10" x14ac:dyDescent="0.2">
      <c r="B22" s="70" t="s">
        <v>19</v>
      </c>
      <c r="C22" s="70"/>
      <c r="D22" s="70"/>
      <c r="E22" s="70"/>
      <c r="F22" s="70"/>
      <c r="G22" s="70"/>
      <c r="H22" s="70"/>
      <c r="I22" s="70"/>
      <c r="J22" s="70"/>
    </row>
  </sheetData>
  <sheetProtection algorithmName="SHA-512" hashValue="SQ7btA3Y1lZjxGktTiNcsy0urjTgwV6JZG7xMfOsn6xytw7KVOANiej+Jx5yeGot4G5o6uY4xWIs/WP4WbPfjw==" saltValue="TlGPeJtnx/N7QIss69YgxA==" spinCount="100000" sheet="1" objects="1" scenarios="1"/>
  <mergeCells count="5">
    <mergeCell ref="B1:J1"/>
    <mergeCell ref="B3:J3"/>
    <mergeCell ref="B22:J22"/>
    <mergeCell ref="B21:J21"/>
    <mergeCell ref="B4:J4"/>
  </mergeCells>
  <phoneticPr fontId="0" type="noConversion"/>
  <dataValidations count="2">
    <dataValidation type="decimal" operator="greaterThanOrEqual" allowBlank="1" showInputMessage="1" showErrorMessage="1" sqref="D7:D8 D14 I7:I8 I14:I15" xr:uid="{00000000-0002-0000-0400-000000000000}">
      <formula1>0</formula1>
    </dataValidation>
    <dataValidation type="decimal" operator="greaterThanOrEqual" allowBlank="1" showInputMessage="1" showErrorMessage="1" sqref="D17" xr:uid="{00000000-0002-0000-0400-000001000000}">
      <formula1>-200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K57"/>
  <sheetViews>
    <sheetView workbookViewId="0">
      <selection activeCell="P17" sqref="P17"/>
    </sheetView>
  </sheetViews>
  <sheetFormatPr defaultRowHeight="12.75" x14ac:dyDescent="0.2"/>
  <cols>
    <col min="1" max="1" width="5.7109375" style="8" customWidth="1"/>
    <col min="2" max="2" width="10.7109375" style="8" customWidth="1"/>
    <col min="3" max="3" width="24.7109375" style="12" customWidth="1"/>
    <col min="4" max="4" width="10.7109375" style="8" customWidth="1"/>
    <col min="5" max="5" width="3.7109375" style="8" customWidth="1"/>
    <col min="6" max="7" width="5.7109375" style="8" customWidth="1"/>
    <col min="8" max="8" width="7.7109375" style="30" customWidth="1"/>
    <col min="9" max="9" width="18.140625" style="8" customWidth="1"/>
    <col min="10" max="10" width="10.7109375" style="8" customWidth="1"/>
    <col min="11" max="11" width="5.7109375" style="8" customWidth="1"/>
    <col min="12" max="16384" width="9.140625" style="8"/>
  </cols>
  <sheetData>
    <row r="1" spans="1:11" x14ac:dyDescent="0.2">
      <c r="B1" s="70" t="s">
        <v>320</v>
      </c>
      <c r="C1" s="70"/>
      <c r="D1" s="70"/>
      <c r="E1" s="70"/>
      <c r="F1" s="70"/>
      <c r="G1" s="70"/>
      <c r="H1" s="70"/>
      <c r="I1" s="70"/>
      <c r="J1" s="70"/>
    </row>
    <row r="2" spans="1:11" x14ac:dyDescent="0.2">
      <c r="B2" s="32"/>
      <c r="C2" s="32"/>
      <c r="D2" s="32"/>
      <c r="E2" s="32"/>
      <c r="F2" s="32"/>
      <c r="G2" s="32"/>
      <c r="H2" s="32"/>
      <c r="I2" s="32"/>
      <c r="J2" s="32"/>
    </row>
    <row r="3" spans="1:11" ht="22.5" x14ac:dyDescent="0.45">
      <c r="A3" s="31"/>
      <c r="B3" s="71" t="s">
        <v>142</v>
      </c>
      <c r="C3" s="71"/>
      <c r="D3" s="71"/>
      <c r="E3" s="71"/>
      <c r="F3" s="71"/>
      <c r="G3" s="71"/>
      <c r="H3" s="71"/>
      <c r="I3" s="71"/>
      <c r="J3" s="71"/>
      <c r="K3" s="27"/>
    </row>
    <row r="4" spans="1:11" x14ac:dyDescent="0.2">
      <c r="A4" s="31"/>
      <c r="B4" s="70" t="s">
        <v>194</v>
      </c>
      <c r="C4" s="70"/>
      <c r="D4" s="70"/>
      <c r="E4" s="70"/>
      <c r="F4" s="70"/>
      <c r="G4" s="70"/>
      <c r="H4" s="70"/>
      <c r="I4" s="70"/>
      <c r="J4" s="70"/>
    </row>
    <row r="5" spans="1:11" ht="13.5" thickBot="1" x14ac:dyDescent="0.25">
      <c r="A5" s="9"/>
      <c r="B5" s="32"/>
      <c r="C5" s="32"/>
      <c r="D5" s="32" t="s">
        <v>16</v>
      </c>
      <c r="E5" s="32"/>
      <c r="F5" s="32"/>
      <c r="G5" s="32"/>
      <c r="H5" s="32"/>
      <c r="I5" s="32"/>
      <c r="J5" s="32"/>
    </row>
    <row r="6" spans="1:11" x14ac:dyDescent="0.2">
      <c r="B6" s="17" t="s">
        <v>0</v>
      </c>
      <c r="C6" s="12" t="s">
        <v>130</v>
      </c>
      <c r="D6" s="36">
        <v>28</v>
      </c>
      <c r="E6" s="8" t="s">
        <v>8</v>
      </c>
      <c r="G6" s="21" t="s">
        <v>131</v>
      </c>
    </row>
    <row r="7" spans="1:11" x14ac:dyDescent="0.2">
      <c r="B7" s="17" t="s">
        <v>0</v>
      </c>
      <c r="C7" s="12" t="s">
        <v>6</v>
      </c>
      <c r="D7" s="34">
        <v>1700</v>
      </c>
      <c r="E7" s="8" t="s">
        <v>11</v>
      </c>
      <c r="G7" s="21" t="s">
        <v>133</v>
      </c>
    </row>
    <row r="8" spans="1:11" ht="13.5" thickBot="1" x14ac:dyDescent="0.25">
      <c r="B8" s="17" t="s">
        <v>0</v>
      </c>
      <c r="C8" s="12" t="s">
        <v>7</v>
      </c>
      <c r="D8" s="35">
        <v>189</v>
      </c>
      <c r="E8" s="8" t="s">
        <v>11</v>
      </c>
      <c r="G8" s="21" t="s">
        <v>179</v>
      </c>
      <c r="K8" s="16"/>
    </row>
    <row r="9" spans="1:11" s="12" customFormat="1" x14ac:dyDescent="0.2">
      <c r="B9" s="12" t="s">
        <v>1</v>
      </c>
      <c r="C9" s="12" t="s">
        <v>103</v>
      </c>
      <c r="D9" s="37">
        <f>D41</f>
        <v>1655.1674638625586</v>
      </c>
      <c r="E9" s="12" t="s">
        <v>11</v>
      </c>
      <c r="G9" s="21" t="s">
        <v>132</v>
      </c>
      <c r="H9" s="30"/>
      <c r="I9" s="8"/>
      <c r="J9" s="8"/>
    </row>
    <row r="10" spans="1:11" s="12" customFormat="1" x14ac:dyDescent="0.2">
      <c r="B10" s="12" t="s">
        <v>1</v>
      </c>
      <c r="C10" s="12" t="s">
        <v>102</v>
      </c>
      <c r="D10" s="37">
        <f>D43</f>
        <v>1745.4316257641913</v>
      </c>
      <c r="E10" s="12" t="s">
        <v>11</v>
      </c>
      <c r="G10" s="21" t="s">
        <v>16</v>
      </c>
      <c r="H10" s="30"/>
      <c r="I10" s="8"/>
      <c r="J10" s="8"/>
    </row>
    <row r="11" spans="1:11" s="12" customFormat="1" x14ac:dyDescent="0.2">
      <c r="B11" s="12" t="s">
        <v>1</v>
      </c>
      <c r="C11" s="12" t="s">
        <v>138</v>
      </c>
      <c r="D11" s="37">
        <f>D42</f>
        <v>-2.6372080080847864</v>
      </c>
      <c r="E11" s="12" t="s">
        <v>9</v>
      </c>
      <c r="G11" s="21" t="s">
        <v>202</v>
      </c>
      <c r="H11" s="14"/>
    </row>
    <row r="12" spans="1:11" s="12" customFormat="1" x14ac:dyDescent="0.2">
      <c r="B12" s="12" t="s">
        <v>1</v>
      </c>
      <c r="C12" s="12" t="s">
        <v>137</v>
      </c>
      <c r="D12" s="37">
        <f>D44</f>
        <v>2.6724485743641924</v>
      </c>
      <c r="E12" s="12" t="s">
        <v>9</v>
      </c>
      <c r="G12" s="21" t="s">
        <v>203</v>
      </c>
      <c r="H12" s="14"/>
    </row>
    <row r="13" spans="1:11" s="12" customFormat="1" x14ac:dyDescent="0.2">
      <c r="B13" s="12" t="s">
        <v>1</v>
      </c>
      <c r="C13" s="12" t="s">
        <v>105</v>
      </c>
      <c r="D13" s="37">
        <f>D45</f>
        <v>146.56223747636776</v>
      </c>
      <c r="E13" s="12" t="s">
        <v>11</v>
      </c>
      <c r="G13" s="21" t="s">
        <v>204</v>
      </c>
      <c r="H13" s="30"/>
      <c r="I13" s="8"/>
      <c r="J13" s="8"/>
    </row>
    <row r="14" spans="1:11" s="12" customFormat="1" x14ac:dyDescent="0.2">
      <c r="B14" s="12" t="s">
        <v>1</v>
      </c>
      <c r="C14" s="12" t="s">
        <v>104</v>
      </c>
      <c r="D14" s="37">
        <f>D47</f>
        <v>236.82639937800005</v>
      </c>
      <c r="E14" s="12" t="s">
        <v>11</v>
      </c>
      <c r="G14" s="21" t="s">
        <v>205</v>
      </c>
      <c r="H14" s="30"/>
      <c r="I14" s="8"/>
      <c r="J14" s="8"/>
    </row>
    <row r="15" spans="1:11" s="12" customFormat="1" x14ac:dyDescent="0.2">
      <c r="B15" s="12" t="s">
        <v>1</v>
      </c>
      <c r="C15" s="12" t="s">
        <v>140</v>
      </c>
      <c r="D15" s="37">
        <f>D46</f>
        <v>-22.453842605096426</v>
      </c>
      <c r="E15" s="12" t="s">
        <v>9</v>
      </c>
      <c r="G15" s="21" t="s">
        <v>206</v>
      </c>
      <c r="H15" s="14"/>
    </row>
    <row r="16" spans="1:11" s="12" customFormat="1" x14ac:dyDescent="0.2">
      <c r="B16" s="12" t="s">
        <v>1</v>
      </c>
      <c r="C16" s="12" t="s">
        <v>139</v>
      </c>
      <c r="D16" s="37">
        <f>D48</f>
        <v>25.304973215873044</v>
      </c>
      <c r="E16" s="12" t="s">
        <v>9</v>
      </c>
      <c r="G16" s="21" t="s">
        <v>16</v>
      </c>
      <c r="H16" s="14"/>
    </row>
    <row r="17" spans="2:11" s="12" customFormat="1" x14ac:dyDescent="0.2">
      <c r="B17" s="12" t="s">
        <v>1</v>
      </c>
      <c r="C17" s="12" t="s">
        <v>108</v>
      </c>
      <c r="D17" s="37">
        <f t="shared" ref="D17:D22" si="0">D52</f>
        <v>1.8160055941562765</v>
      </c>
      <c r="E17" s="12" t="s">
        <v>16</v>
      </c>
      <c r="G17" s="21" t="s">
        <v>134</v>
      </c>
      <c r="H17" s="30"/>
      <c r="I17" s="8"/>
      <c r="J17" s="8"/>
    </row>
    <row r="18" spans="2:11" s="16" customFormat="1" x14ac:dyDescent="0.2">
      <c r="B18" s="12" t="s">
        <v>1</v>
      </c>
      <c r="C18" s="12" t="s">
        <v>2</v>
      </c>
      <c r="D18" s="37">
        <f t="shared" si="0"/>
        <v>2.0004411764801264</v>
      </c>
      <c r="E18" s="12"/>
      <c r="G18" s="21" t="s">
        <v>135</v>
      </c>
      <c r="H18" s="30"/>
      <c r="I18" s="8"/>
      <c r="J18" s="8"/>
    </row>
    <row r="19" spans="2:11" s="12" customFormat="1" x14ac:dyDescent="0.2">
      <c r="B19" s="12" t="s">
        <v>1</v>
      </c>
      <c r="C19" s="12" t="s">
        <v>107</v>
      </c>
      <c r="D19" s="37">
        <f t="shared" si="0"/>
        <v>2.21679524485958</v>
      </c>
      <c r="E19" s="12" t="s">
        <v>16</v>
      </c>
      <c r="G19" s="21" t="s">
        <v>207</v>
      </c>
      <c r="H19" s="30"/>
      <c r="I19" s="8"/>
      <c r="J19" s="8"/>
    </row>
    <row r="20" spans="2:11" s="12" customFormat="1" x14ac:dyDescent="0.2">
      <c r="B20" s="12" t="s">
        <v>1</v>
      </c>
      <c r="C20" s="12" t="s">
        <v>110</v>
      </c>
      <c r="D20" s="41">
        <f t="shared" si="0"/>
        <v>-10.758807542719211</v>
      </c>
      <c r="E20" s="12" t="s">
        <v>8</v>
      </c>
      <c r="G20" s="21" t="s">
        <v>16</v>
      </c>
      <c r="H20" s="30"/>
      <c r="I20" s="8"/>
      <c r="J20" s="8"/>
    </row>
    <row r="21" spans="2:11" s="16" customFormat="1" x14ac:dyDescent="0.2">
      <c r="B21" s="12" t="s">
        <v>1</v>
      </c>
      <c r="C21" s="12" t="s">
        <v>3</v>
      </c>
      <c r="D21" s="41">
        <f t="shared" si="0"/>
        <v>-9.5398711720502973</v>
      </c>
      <c r="E21" s="12" t="s">
        <v>8</v>
      </c>
      <c r="H21" s="30"/>
      <c r="I21" s="8"/>
      <c r="J21" s="8"/>
      <c r="K21" s="8"/>
    </row>
    <row r="22" spans="2:11" s="12" customFormat="1" x14ac:dyDescent="0.2">
      <c r="B22" s="12" t="s">
        <v>1</v>
      </c>
      <c r="C22" s="12" t="s">
        <v>109</v>
      </c>
      <c r="D22" s="37">
        <f t="shared" si="0"/>
        <v>-8.4441182850361134</v>
      </c>
      <c r="E22" s="12" t="s">
        <v>8</v>
      </c>
      <c r="H22" s="30"/>
      <c r="I22" s="8"/>
      <c r="J22" s="8"/>
    </row>
    <row r="24" spans="2:11" s="12" customFormat="1" x14ac:dyDescent="0.2">
      <c r="B24" s="21" t="s">
        <v>136</v>
      </c>
      <c r="D24" s="37"/>
      <c r="G24" s="8"/>
      <c r="H24" s="30"/>
      <c r="I24" s="8"/>
      <c r="J24" s="8"/>
    </row>
    <row r="25" spans="2:11" s="12" customFormat="1" x14ac:dyDescent="0.2">
      <c r="B25" s="21"/>
      <c r="D25" s="37"/>
      <c r="G25" s="8"/>
      <c r="H25" s="30"/>
      <c r="I25" s="8"/>
      <c r="J25" s="8"/>
    </row>
    <row r="26" spans="2:11" x14ac:dyDescent="0.2">
      <c r="B26" s="8" t="s">
        <v>106</v>
      </c>
      <c r="C26" s="12" t="s">
        <v>130</v>
      </c>
      <c r="D26" s="38">
        <f>D6</f>
        <v>28</v>
      </c>
      <c r="E26" s="8" t="s">
        <v>8</v>
      </c>
      <c r="G26" s="21" t="s">
        <v>173</v>
      </c>
    </row>
    <row r="27" spans="2:11" x14ac:dyDescent="0.2">
      <c r="B27" s="8" t="s">
        <v>106</v>
      </c>
      <c r="C27" s="12" t="s">
        <v>6</v>
      </c>
      <c r="D27" s="38">
        <f>D7</f>
        <v>1700</v>
      </c>
      <c r="E27" s="8" t="s">
        <v>11</v>
      </c>
      <c r="G27" s="21" t="s">
        <v>114</v>
      </c>
    </row>
    <row r="28" spans="2:11" x14ac:dyDescent="0.2">
      <c r="B28" s="8" t="s">
        <v>106</v>
      </c>
      <c r="C28" s="12" t="s">
        <v>7</v>
      </c>
      <c r="D28" s="38">
        <f>D8</f>
        <v>189</v>
      </c>
      <c r="E28" s="8" t="s">
        <v>11</v>
      </c>
      <c r="G28" s="21" t="s">
        <v>115</v>
      </c>
    </row>
    <row r="29" spans="2:11" x14ac:dyDescent="0.2">
      <c r="B29" s="12" t="s">
        <v>1</v>
      </c>
      <c r="C29" s="12" t="s">
        <v>174</v>
      </c>
      <c r="D29" s="40">
        <f>10^(D6/10)</f>
        <v>630.95734448019323</v>
      </c>
      <c r="E29" s="12" t="s">
        <v>16</v>
      </c>
      <c r="F29" s="16"/>
      <c r="G29" s="21" t="s">
        <v>175</v>
      </c>
    </row>
    <row r="30" spans="2:11" x14ac:dyDescent="0.2">
      <c r="B30" s="12" t="s">
        <v>1</v>
      </c>
      <c r="C30" s="12" t="s">
        <v>180</v>
      </c>
      <c r="D30" s="37">
        <f>D28/D29</f>
        <v>0.29954481337515043</v>
      </c>
      <c r="E30" s="12" t="s">
        <v>11</v>
      </c>
      <c r="F30" s="16"/>
      <c r="G30" s="21" t="s">
        <v>176</v>
      </c>
    </row>
    <row r="31" spans="2:11" x14ac:dyDescent="0.2">
      <c r="B31" s="12" t="s">
        <v>1</v>
      </c>
      <c r="C31" s="12" t="s">
        <v>181</v>
      </c>
      <c r="D31" s="37">
        <f>D27/D29</f>
        <v>2.6943184271838931</v>
      </c>
      <c r="E31" s="12" t="s">
        <v>11</v>
      </c>
      <c r="F31" s="16"/>
      <c r="G31" s="21" t="s">
        <v>177</v>
      </c>
    </row>
    <row r="32" spans="2:11" x14ac:dyDescent="0.2">
      <c r="B32" s="12" t="s">
        <v>1</v>
      </c>
      <c r="C32" s="12" t="s">
        <v>95</v>
      </c>
      <c r="D32" s="37">
        <f>SQRT(D7*50)</f>
        <v>291.54759474226501</v>
      </c>
      <c r="E32" s="12" t="s">
        <v>97</v>
      </c>
      <c r="F32" s="16"/>
      <c r="G32" s="21" t="s">
        <v>184</v>
      </c>
    </row>
    <row r="33" spans="2:8" x14ac:dyDescent="0.2">
      <c r="B33" s="12" t="s">
        <v>1</v>
      </c>
      <c r="C33" s="12" t="s">
        <v>96</v>
      </c>
      <c r="D33" s="37">
        <f>SQRT(D8*50)</f>
        <v>97.211110476117909</v>
      </c>
      <c r="E33" s="12" t="s">
        <v>97</v>
      </c>
      <c r="F33" s="16"/>
      <c r="G33" s="21" t="s">
        <v>185</v>
      </c>
    </row>
    <row r="34" spans="2:8" x14ac:dyDescent="0.2">
      <c r="B34" s="12" t="s">
        <v>1</v>
      </c>
      <c r="C34" s="12" t="s">
        <v>182</v>
      </c>
      <c r="D34" s="37">
        <f>SQRT(D30*50)</f>
        <v>3.8700440138010732</v>
      </c>
      <c r="E34" s="12" t="s">
        <v>97</v>
      </c>
      <c r="F34" s="16"/>
      <c r="G34" s="21" t="s">
        <v>186</v>
      </c>
    </row>
    <row r="35" spans="2:8" x14ac:dyDescent="0.2">
      <c r="B35" s="12" t="s">
        <v>1</v>
      </c>
      <c r="C35" s="12" t="s">
        <v>183</v>
      </c>
      <c r="D35" s="37">
        <f>SQRT(D31*50)</f>
        <v>11.606718802452081</v>
      </c>
      <c r="E35" s="12" t="s">
        <v>97</v>
      </c>
      <c r="F35" s="16"/>
      <c r="G35" s="21" t="s">
        <v>187</v>
      </c>
    </row>
    <row r="36" spans="2:8" x14ac:dyDescent="0.2">
      <c r="B36" s="21" t="s">
        <v>193</v>
      </c>
      <c r="D36" s="37"/>
      <c r="E36" s="12"/>
      <c r="F36" s="16"/>
      <c r="G36" s="21"/>
    </row>
    <row r="37" spans="2:8" x14ac:dyDescent="0.2">
      <c r="B37" s="12" t="s">
        <v>1</v>
      </c>
      <c r="C37" s="12" t="s">
        <v>99</v>
      </c>
      <c r="D37" s="37">
        <f>D32-D34</f>
        <v>287.67755072846393</v>
      </c>
      <c r="E37" s="12" t="s">
        <v>97</v>
      </c>
      <c r="F37" s="16"/>
      <c r="G37" s="21" t="s">
        <v>117</v>
      </c>
    </row>
    <row r="38" spans="2:8" x14ac:dyDescent="0.2">
      <c r="B38" s="12" t="s">
        <v>1</v>
      </c>
      <c r="C38" s="12" t="s">
        <v>98</v>
      </c>
      <c r="D38" s="37">
        <f>D32+D34</f>
        <v>295.41763875606608</v>
      </c>
      <c r="E38" s="12" t="s">
        <v>97</v>
      </c>
      <c r="F38" s="16"/>
      <c r="G38" s="21" t="s">
        <v>116</v>
      </c>
    </row>
    <row r="39" spans="2:8" x14ac:dyDescent="0.2">
      <c r="B39" s="12" t="s">
        <v>1</v>
      </c>
      <c r="C39" s="12" t="s">
        <v>101</v>
      </c>
      <c r="D39" s="37">
        <f>IF(D33&gt;D35,D33-D35,0)</f>
        <v>85.60439167366583</v>
      </c>
      <c r="E39" s="12" t="s">
        <v>97</v>
      </c>
      <c r="F39" s="16"/>
      <c r="G39" s="21" t="s">
        <v>192</v>
      </c>
    </row>
    <row r="40" spans="2:8" x14ac:dyDescent="0.2">
      <c r="B40" s="12" t="s">
        <v>1</v>
      </c>
      <c r="C40" s="12" t="s">
        <v>100</v>
      </c>
      <c r="D40" s="37">
        <f>D33+D35</f>
        <v>108.81782927856999</v>
      </c>
      <c r="E40" s="12" t="s">
        <v>97</v>
      </c>
      <c r="F40" s="16"/>
      <c r="G40" s="21" t="s">
        <v>118</v>
      </c>
    </row>
    <row r="41" spans="2:8" s="12" customFormat="1" x14ac:dyDescent="0.2">
      <c r="B41" s="12" t="s">
        <v>1</v>
      </c>
      <c r="C41" s="12" t="s">
        <v>103</v>
      </c>
      <c r="D41" s="37">
        <f>POWER(D37,2)/50</f>
        <v>1655.1674638625586</v>
      </c>
      <c r="E41" s="12" t="s">
        <v>11</v>
      </c>
      <c r="G41" s="21" t="s">
        <v>120</v>
      </c>
      <c r="H41" s="14"/>
    </row>
    <row r="42" spans="2:8" s="12" customFormat="1" x14ac:dyDescent="0.2">
      <c r="B42" s="12" t="s">
        <v>1</v>
      </c>
      <c r="C42" s="12" t="s">
        <v>138</v>
      </c>
      <c r="D42" s="37">
        <f>100*(D41-D7)/D7</f>
        <v>-2.6372080080847864</v>
      </c>
      <c r="E42" s="12" t="s">
        <v>9</v>
      </c>
      <c r="G42" s="21" t="s">
        <v>189</v>
      </c>
      <c r="H42" s="14"/>
    </row>
    <row r="43" spans="2:8" s="12" customFormat="1" x14ac:dyDescent="0.2">
      <c r="B43" s="12" t="s">
        <v>1</v>
      </c>
      <c r="C43" s="12" t="s">
        <v>102</v>
      </c>
      <c r="D43" s="37">
        <f>POWER(D38,2)/50</f>
        <v>1745.4316257641913</v>
      </c>
      <c r="E43" s="12" t="s">
        <v>11</v>
      </c>
      <c r="G43" s="21" t="s">
        <v>119</v>
      </c>
      <c r="H43" s="14"/>
    </row>
    <row r="44" spans="2:8" s="12" customFormat="1" x14ac:dyDescent="0.2">
      <c r="B44" s="12" t="s">
        <v>1</v>
      </c>
      <c r="C44" s="12" t="s">
        <v>137</v>
      </c>
      <c r="D44" s="37">
        <f>100*(D43-D7)/D7</f>
        <v>2.6724485743641924</v>
      </c>
      <c r="E44" s="12" t="s">
        <v>9</v>
      </c>
      <c r="G44" s="21" t="s">
        <v>188</v>
      </c>
      <c r="H44" s="14"/>
    </row>
    <row r="45" spans="2:8" s="12" customFormat="1" x14ac:dyDescent="0.2">
      <c r="B45" s="12" t="s">
        <v>1</v>
      </c>
      <c r="C45" s="12" t="s">
        <v>105</v>
      </c>
      <c r="D45" s="37">
        <f>POWER(D39,2)/50</f>
        <v>146.56223747636776</v>
      </c>
      <c r="E45" s="12" t="s">
        <v>11</v>
      </c>
      <c r="G45" s="21" t="s">
        <v>122</v>
      </c>
      <c r="H45" s="14"/>
    </row>
    <row r="46" spans="2:8" s="12" customFormat="1" x14ac:dyDescent="0.2">
      <c r="B46" s="12" t="s">
        <v>1</v>
      </c>
      <c r="C46" s="12" t="s">
        <v>140</v>
      </c>
      <c r="D46" s="37">
        <f>IF(D8=0,0,100*(D45-D8)/D8)</f>
        <v>-22.453842605096426</v>
      </c>
      <c r="E46" s="12" t="s">
        <v>9</v>
      </c>
      <c r="G46" s="21" t="s">
        <v>191</v>
      </c>
      <c r="H46" s="14"/>
    </row>
    <row r="47" spans="2:8" s="12" customFormat="1" x14ac:dyDescent="0.2">
      <c r="B47" s="12" t="s">
        <v>1</v>
      </c>
      <c r="C47" s="12" t="s">
        <v>104</v>
      </c>
      <c r="D47" s="37">
        <f>POWER(D40,2)/50</f>
        <v>236.82639937800005</v>
      </c>
      <c r="E47" s="12" t="s">
        <v>11</v>
      </c>
      <c r="G47" s="21" t="s">
        <v>121</v>
      </c>
      <c r="H47" s="14"/>
    </row>
    <row r="48" spans="2:8" s="12" customFormat="1" x14ac:dyDescent="0.2">
      <c r="B48" s="12" t="s">
        <v>1</v>
      </c>
      <c r="C48" s="12" t="s">
        <v>139</v>
      </c>
      <c r="D48" s="37">
        <f>IF(D8=0,0,100*(D47-D8)/D8)</f>
        <v>25.304973215873044</v>
      </c>
      <c r="E48" s="12" t="s">
        <v>9</v>
      </c>
      <c r="G48" s="21" t="s">
        <v>190</v>
      </c>
      <c r="H48" s="14"/>
    </row>
    <row r="49" spans="2:11" s="12" customFormat="1" x14ac:dyDescent="0.2">
      <c r="B49" s="12" t="s">
        <v>1</v>
      </c>
      <c r="C49" s="12" t="s">
        <v>113</v>
      </c>
      <c r="D49" s="37">
        <f>SQRT(D45/D43)</f>
        <v>0.28977413817985176</v>
      </c>
      <c r="E49" s="12" t="s">
        <v>16</v>
      </c>
      <c r="G49" s="21" t="s">
        <v>129</v>
      </c>
      <c r="H49" s="14"/>
    </row>
    <row r="50" spans="2:11" s="16" customFormat="1" x14ac:dyDescent="0.2">
      <c r="B50" s="12" t="s">
        <v>1</v>
      </c>
      <c r="C50" s="12" t="s">
        <v>5</v>
      </c>
      <c r="D50" s="37">
        <f>SQRT(D8/D7)</f>
        <v>0.33343135813572677</v>
      </c>
      <c r="E50" s="12"/>
      <c r="G50" s="21" t="s">
        <v>127</v>
      </c>
      <c r="H50" s="30"/>
      <c r="I50" s="8"/>
      <c r="J50" s="8"/>
    </row>
    <row r="51" spans="2:11" s="12" customFormat="1" x14ac:dyDescent="0.2">
      <c r="B51" s="12" t="s">
        <v>1</v>
      </c>
      <c r="C51" s="12" t="s">
        <v>112</v>
      </c>
      <c r="D51" s="37">
        <f>SQRT(D47/D41)</f>
        <v>0.37826319434039568</v>
      </c>
      <c r="E51" s="12" t="s">
        <v>16</v>
      </c>
      <c r="G51" s="21" t="s">
        <v>128</v>
      </c>
      <c r="H51" s="14"/>
    </row>
    <row r="52" spans="2:11" s="12" customFormat="1" x14ac:dyDescent="0.2">
      <c r="B52" s="12" t="s">
        <v>1</v>
      </c>
      <c r="C52" s="12" t="s">
        <v>108</v>
      </c>
      <c r="D52" s="37">
        <f>(1+D49)/(1-D49)</f>
        <v>1.8160055941562765</v>
      </c>
      <c r="E52" s="12" t="s">
        <v>16</v>
      </c>
      <c r="G52" s="21" t="s">
        <v>124</v>
      </c>
      <c r="H52" s="14"/>
    </row>
    <row r="53" spans="2:11" s="16" customFormat="1" x14ac:dyDescent="0.2">
      <c r="B53" s="12" t="s">
        <v>1</v>
      </c>
      <c r="C53" s="12" t="s">
        <v>2</v>
      </c>
      <c r="D53" s="37">
        <f>(1+D50)/(1-D50)</f>
        <v>2.0004411764801264</v>
      </c>
      <c r="E53" s="12"/>
      <c r="G53" s="21" t="s">
        <v>111</v>
      </c>
      <c r="H53" s="30"/>
      <c r="I53" s="8"/>
      <c r="J53" s="8"/>
    </row>
    <row r="54" spans="2:11" s="12" customFormat="1" x14ac:dyDescent="0.2">
      <c r="B54" s="12" t="s">
        <v>1</v>
      </c>
      <c r="C54" s="12" t="s">
        <v>107</v>
      </c>
      <c r="D54" s="37">
        <f>(1+D51)/(1-D51)</f>
        <v>2.21679524485958</v>
      </c>
      <c r="E54" s="12" t="s">
        <v>16</v>
      </c>
      <c r="G54" s="21" t="s">
        <v>123</v>
      </c>
      <c r="H54" s="14"/>
    </row>
    <row r="55" spans="2:11" s="12" customFormat="1" x14ac:dyDescent="0.2">
      <c r="B55" s="12" t="s">
        <v>1</v>
      </c>
      <c r="C55" s="12" t="s">
        <v>110</v>
      </c>
      <c r="D55" s="41">
        <f>IF(D45=0,"-Infinity",10*LOG(D45/D43))</f>
        <v>-10.758807542719211</v>
      </c>
      <c r="E55" s="12" t="s">
        <v>8</v>
      </c>
      <c r="G55" s="21" t="s">
        <v>126</v>
      </c>
      <c r="H55" s="14"/>
    </row>
    <row r="56" spans="2:11" s="16" customFormat="1" x14ac:dyDescent="0.2">
      <c r="B56" s="12" t="s">
        <v>1</v>
      </c>
      <c r="C56" s="12" t="s">
        <v>3</v>
      </c>
      <c r="D56" s="41">
        <f>IF(D8=0,"-Infinity",10*LOG(D8/D7))</f>
        <v>-9.5398711720502973</v>
      </c>
      <c r="E56" s="12" t="s">
        <v>8</v>
      </c>
      <c r="G56" s="21" t="s">
        <v>178</v>
      </c>
      <c r="H56" s="30"/>
      <c r="I56" s="8"/>
      <c r="J56" s="8"/>
      <c r="K56" s="8"/>
    </row>
    <row r="57" spans="2:11" s="12" customFormat="1" x14ac:dyDescent="0.2">
      <c r="B57" s="12" t="s">
        <v>1</v>
      </c>
      <c r="C57" s="12" t="s">
        <v>109</v>
      </c>
      <c r="D57" s="37">
        <f>10*LOG(D47/D41)</f>
        <v>-8.4441182850361134</v>
      </c>
      <c r="E57" s="12" t="s">
        <v>8</v>
      </c>
      <c r="G57" s="21" t="s">
        <v>125</v>
      </c>
      <c r="H57" s="14"/>
    </row>
  </sheetData>
  <sheetProtection algorithmName="SHA-512" hashValue="fb7GmgKhMfamzXzxPzbDaE8eh27qdPw3rPlkNsoOu8xu75yJiBGyHRbcbzm+kP/DuIhCP+w0KnWy5ThqWdorIg==" saltValue="YbMURS/pnb1RczO6/T06Ug==" spinCount="100000" sheet="1" objects="1" scenarios="1"/>
  <mergeCells count="3">
    <mergeCell ref="B4:J4"/>
    <mergeCell ref="B3:J3"/>
    <mergeCell ref="B1:J1"/>
  </mergeCells>
  <phoneticPr fontId="0" type="noConversion"/>
  <dataValidations count="1">
    <dataValidation type="decimal" operator="greaterThanOrEqual" allowBlank="1" showInputMessage="1" showErrorMessage="1" sqref="D6:D8" xr:uid="{00000000-0002-0000-0500-000000000000}">
      <formula1>0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26"/>
  <sheetViews>
    <sheetView workbookViewId="0">
      <selection activeCell="J5" sqref="J5"/>
    </sheetView>
  </sheetViews>
  <sheetFormatPr defaultRowHeight="12.75" x14ac:dyDescent="0.2"/>
  <cols>
    <col min="1" max="1" width="5.7109375" style="8" customWidth="1"/>
    <col min="2" max="2" width="10.7109375" style="8" customWidth="1"/>
    <col min="3" max="3" width="27.7109375" style="12" customWidth="1"/>
    <col min="4" max="4" width="10.7109375" style="8" customWidth="1"/>
    <col min="5" max="5" width="3.7109375" style="8" customWidth="1"/>
    <col min="6" max="6" width="5.7109375" style="8" customWidth="1"/>
    <col min="7" max="7" width="10.7109375" style="8" customWidth="1"/>
    <col min="8" max="8" width="7.7109375" style="30" customWidth="1"/>
    <col min="9" max="9" width="18.140625" style="8" customWidth="1"/>
    <col min="10" max="10" width="10.7109375" style="8" customWidth="1"/>
    <col min="11" max="11" width="5.7109375" style="8" customWidth="1"/>
    <col min="12" max="16384" width="9.140625" style="8"/>
  </cols>
  <sheetData>
    <row r="1" spans="1:11" x14ac:dyDescent="0.2">
      <c r="B1" s="70" t="s">
        <v>320</v>
      </c>
      <c r="C1" s="70"/>
      <c r="D1" s="70"/>
      <c r="E1" s="70"/>
      <c r="F1" s="70"/>
      <c r="G1" s="70"/>
      <c r="H1" s="70"/>
      <c r="I1" s="70"/>
      <c r="J1" s="32"/>
    </row>
    <row r="2" spans="1:11" x14ac:dyDescent="0.2">
      <c r="B2" s="32"/>
      <c r="C2" s="32"/>
      <c r="D2" s="32"/>
      <c r="E2" s="32"/>
      <c r="F2" s="32"/>
      <c r="G2" s="32"/>
      <c r="H2" s="32"/>
      <c r="I2" s="32"/>
      <c r="J2" s="32"/>
    </row>
    <row r="3" spans="1:11" ht="42" customHeight="1" x14ac:dyDescent="0.45">
      <c r="A3" s="31"/>
      <c r="B3" s="71" t="s">
        <v>238</v>
      </c>
      <c r="C3" s="71"/>
      <c r="D3" s="71"/>
      <c r="E3" s="71"/>
      <c r="F3" s="71"/>
      <c r="G3" s="71"/>
      <c r="H3" s="71"/>
      <c r="I3" s="71"/>
      <c r="J3" s="43"/>
      <c r="K3" s="27"/>
    </row>
    <row r="4" spans="1:11" x14ac:dyDescent="0.2">
      <c r="A4" s="31"/>
      <c r="B4" s="70" t="s">
        <v>243</v>
      </c>
      <c r="C4" s="70"/>
      <c r="D4" s="70"/>
      <c r="E4" s="70"/>
      <c r="F4" s="70"/>
      <c r="G4" s="70"/>
      <c r="H4" s="70"/>
      <c r="I4" s="70"/>
      <c r="J4" s="32"/>
    </row>
    <row r="5" spans="1:11" x14ac:dyDescent="0.2">
      <c r="A5" s="31"/>
      <c r="B5" s="32"/>
      <c r="C5" s="32"/>
      <c r="D5" s="32"/>
      <c r="E5" s="32"/>
      <c r="F5" s="32"/>
      <c r="G5" s="32"/>
      <c r="H5" s="32"/>
      <c r="I5" s="32"/>
      <c r="J5" s="32"/>
    </row>
    <row r="6" spans="1:11" x14ac:dyDescent="0.2">
      <c r="B6" s="73" t="s">
        <v>235</v>
      </c>
      <c r="C6" s="73"/>
      <c r="D6" s="73"/>
      <c r="E6" s="73"/>
      <c r="F6" s="73"/>
      <c r="G6" s="73"/>
      <c r="H6" s="73"/>
      <c r="I6" s="73"/>
    </row>
    <row r="7" spans="1:11" x14ac:dyDescent="0.2">
      <c r="B7" s="73" t="s">
        <v>236</v>
      </c>
      <c r="C7" s="73"/>
      <c r="D7" s="73"/>
      <c r="E7" s="73"/>
      <c r="F7" s="73"/>
      <c r="G7" s="73"/>
      <c r="H7" s="73"/>
      <c r="I7" s="73"/>
    </row>
    <row r="8" spans="1:11" x14ac:dyDescent="0.2">
      <c r="B8" s="73" t="s">
        <v>239</v>
      </c>
      <c r="C8" s="73"/>
      <c r="D8" s="73"/>
      <c r="E8" s="73"/>
      <c r="F8" s="73"/>
      <c r="G8" s="73"/>
      <c r="H8" s="73"/>
      <c r="I8" s="73"/>
    </row>
    <row r="9" spans="1:11" x14ac:dyDescent="0.2">
      <c r="B9" s="47"/>
      <c r="C9" s="47"/>
      <c r="D9" s="47"/>
      <c r="E9" s="47"/>
      <c r="F9" s="47"/>
      <c r="G9" s="47"/>
      <c r="H9" s="47"/>
      <c r="I9" s="47"/>
    </row>
    <row r="10" spans="1:11" ht="13.5" thickBot="1" x14ac:dyDescent="0.25"/>
    <row r="11" spans="1:11" x14ac:dyDescent="0.2">
      <c r="B11" s="17" t="s">
        <v>0</v>
      </c>
      <c r="C11" s="12" t="s">
        <v>228</v>
      </c>
      <c r="D11" s="3">
        <v>1.1299999999999999</v>
      </c>
      <c r="E11" s="8" t="s">
        <v>8</v>
      </c>
      <c r="G11" s="21" t="s">
        <v>241</v>
      </c>
      <c r="K11" s="16"/>
    </row>
    <row r="12" spans="1:11" ht="13.5" thickBot="1" x14ac:dyDescent="0.25">
      <c r="B12" s="17" t="s">
        <v>0</v>
      </c>
      <c r="C12" s="12" t="s">
        <v>210</v>
      </c>
      <c r="D12" s="4">
        <v>230</v>
      </c>
      <c r="E12" s="12" t="s">
        <v>211</v>
      </c>
      <c r="G12" s="21" t="s">
        <v>242</v>
      </c>
      <c r="K12" s="16"/>
    </row>
    <row r="13" spans="1:11" s="16" customFormat="1" ht="13.5" thickBot="1" x14ac:dyDescent="0.25">
      <c r="B13" s="12" t="s">
        <v>1</v>
      </c>
      <c r="C13" s="12" t="s">
        <v>212</v>
      </c>
      <c r="D13" s="14">
        <f>ABS(D11)/100*D12</f>
        <v>2.5989999999999998</v>
      </c>
      <c r="E13" s="12" t="s">
        <v>8</v>
      </c>
      <c r="G13" s="21" t="s">
        <v>213</v>
      </c>
      <c r="H13" s="30"/>
      <c r="I13" s="8"/>
      <c r="J13" s="8"/>
    </row>
    <row r="14" spans="1:11" x14ac:dyDescent="0.2">
      <c r="B14" s="17" t="s">
        <v>0</v>
      </c>
      <c r="C14" s="12" t="s">
        <v>229</v>
      </c>
      <c r="D14" s="3">
        <v>3.23</v>
      </c>
      <c r="E14" s="8" t="s">
        <v>8</v>
      </c>
      <c r="G14" s="21" t="s">
        <v>241</v>
      </c>
      <c r="K14" s="16"/>
    </row>
    <row r="15" spans="1:11" ht="13.5" thickBot="1" x14ac:dyDescent="0.25">
      <c r="B15" s="17" t="s">
        <v>0</v>
      </c>
      <c r="C15" s="12" t="s">
        <v>230</v>
      </c>
      <c r="D15" s="4">
        <v>10</v>
      </c>
      <c r="E15" s="12" t="s">
        <v>211</v>
      </c>
      <c r="G15" s="21" t="s">
        <v>242</v>
      </c>
      <c r="K15" s="16"/>
    </row>
    <row r="16" spans="1:11" s="16" customFormat="1" ht="13.5" thickBot="1" x14ac:dyDescent="0.25">
      <c r="B16" s="12" t="s">
        <v>1</v>
      </c>
      <c r="C16" s="12" t="s">
        <v>225</v>
      </c>
      <c r="D16" s="14">
        <f>ABS(D14)/100*D15</f>
        <v>0.32300000000000001</v>
      </c>
      <c r="E16" s="12" t="s">
        <v>8</v>
      </c>
      <c r="G16" s="21" t="s">
        <v>233</v>
      </c>
      <c r="H16" s="30"/>
      <c r="I16" s="8"/>
      <c r="J16" s="8"/>
    </row>
    <row r="17" spans="2:11" x14ac:dyDescent="0.2">
      <c r="B17" s="17" t="s">
        <v>0</v>
      </c>
      <c r="C17" s="12" t="s">
        <v>227</v>
      </c>
      <c r="D17" s="3">
        <v>3.23</v>
      </c>
      <c r="E17" s="8" t="s">
        <v>8</v>
      </c>
      <c r="G17" s="21" t="s">
        <v>241</v>
      </c>
      <c r="K17" s="16"/>
    </row>
    <row r="18" spans="2:11" ht="13.5" thickBot="1" x14ac:dyDescent="0.25">
      <c r="B18" s="17" t="s">
        <v>0</v>
      </c>
      <c r="C18" s="12" t="s">
        <v>231</v>
      </c>
      <c r="D18" s="4">
        <v>20</v>
      </c>
      <c r="E18" s="12" t="s">
        <v>211</v>
      </c>
      <c r="G18" s="21" t="s">
        <v>242</v>
      </c>
      <c r="K18" s="16"/>
    </row>
    <row r="19" spans="2:11" s="16" customFormat="1" ht="13.5" thickBot="1" x14ac:dyDescent="0.25">
      <c r="B19" s="12" t="s">
        <v>1</v>
      </c>
      <c r="C19" s="12" t="s">
        <v>232</v>
      </c>
      <c r="D19" s="14">
        <f>ABS(D17)/100*D18</f>
        <v>0.64600000000000002</v>
      </c>
      <c r="E19" s="12" t="s">
        <v>8</v>
      </c>
      <c r="G19" s="21" t="s">
        <v>234</v>
      </c>
      <c r="H19" s="30"/>
      <c r="I19" s="8"/>
      <c r="J19" s="8"/>
    </row>
    <row r="20" spans="2:11" x14ac:dyDescent="0.2">
      <c r="B20" s="17" t="s">
        <v>0</v>
      </c>
      <c r="C20" s="12" t="s">
        <v>214</v>
      </c>
      <c r="D20" s="3">
        <v>0.05</v>
      </c>
      <c r="E20" s="8" t="s">
        <v>8</v>
      </c>
      <c r="G20" s="21" t="s">
        <v>221</v>
      </c>
      <c r="K20" s="16"/>
    </row>
    <row r="21" spans="2:11" ht="13.5" thickBot="1" x14ac:dyDescent="0.25">
      <c r="B21" s="17" t="s">
        <v>0</v>
      </c>
      <c r="C21" s="12" t="s">
        <v>215</v>
      </c>
      <c r="D21" s="46">
        <v>8</v>
      </c>
      <c r="E21" s="12" t="s">
        <v>16</v>
      </c>
      <c r="G21" s="21" t="s">
        <v>220</v>
      </c>
      <c r="K21" s="16"/>
    </row>
    <row r="22" spans="2:11" s="16" customFormat="1" ht="13.5" thickBot="1" x14ac:dyDescent="0.25">
      <c r="B22" s="12" t="s">
        <v>1</v>
      </c>
      <c r="C22" s="12" t="s">
        <v>216</v>
      </c>
      <c r="D22" s="14">
        <f>ABS(D20)*D21</f>
        <v>0.4</v>
      </c>
      <c r="E22" s="12" t="s">
        <v>8</v>
      </c>
      <c r="G22" s="21" t="s">
        <v>221</v>
      </c>
      <c r="H22" s="30"/>
      <c r="I22" s="8"/>
      <c r="J22" s="8"/>
    </row>
    <row r="23" spans="2:11" x14ac:dyDescent="0.2">
      <c r="B23" s="17" t="s">
        <v>0</v>
      </c>
      <c r="C23" s="12" t="s">
        <v>217</v>
      </c>
      <c r="D23" s="3">
        <v>0.1</v>
      </c>
      <c r="E23" s="8" t="s">
        <v>8</v>
      </c>
      <c r="G23" s="21" t="s">
        <v>222</v>
      </c>
      <c r="K23" s="16"/>
    </row>
    <row r="24" spans="2:11" x14ac:dyDescent="0.2">
      <c r="B24" s="17" t="s">
        <v>0</v>
      </c>
      <c r="C24" s="12" t="s">
        <v>218</v>
      </c>
      <c r="D24" s="39">
        <v>0</v>
      </c>
      <c r="E24" s="8" t="s">
        <v>8</v>
      </c>
      <c r="G24" s="21" t="s">
        <v>226</v>
      </c>
      <c r="K24" s="16"/>
    </row>
    <row r="25" spans="2:11" ht="13.5" thickBot="1" x14ac:dyDescent="0.25">
      <c r="B25" s="17" t="s">
        <v>0</v>
      </c>
      <c r="C25" s="12" t="s">
        <v>237</v>
      </c>
      <c r="D25" s="4">
        <v>0</v>
      </c>
      <c r="E25" s="8" t="s">
        <v>8</v>
      </c>
      <c r="G25" s="21" t="s">
        <v>219</v>
      </c>
      <c r="K25" s="16"/>
    </row>
    <row r="26" spans="2:11" s="16" customFormat="1" x14ac:dyDescent="0.2">
      <c r="B26" s="12" t="s">
        <v>1</v>
      </c>
      <c r="C26" s="12" t="s">
        <v>224</v>
      </c>
      <c r="D26" s="14">
        <f>ABS(D13)+ABS(D16)+ABS(D19)+ABS(D22)+ABS(D23)+ABS(D24)+ABS(D25)</f>
        <v>4.0679999999999996</v>
      </c>
      <c r="E26" s="12" t="s">
        <v>8</v>
      </c>
      <c r="G26" s="21" t="s">
        <v>223</v>
      </c>
      <c r="H26" s="30"/>
      <c r="I26" s="8"/>
      <c r="J26" s="8"/>
    </row>
  </sheetData>
  <sheetProtection algorithmName="SHA-512" hashValue="k4EAu6yi+UldBd9AIjSFqKKGbPHcXK6GIikCj8de6MuXf/Uh6eHhOXv3kH74ws8X6StLM5nLPvL9AP46o8u1Pw==" saltValue="8lZI2EpaGdIfIYVVU1fJGQ==" spinCount="100000" sheet="1" objects="1" scenarios="1"/>
  <mergeCells count="6">
    <mergeCell ref="B1:I1"/>
    <mergeCell ref="B7:I7"/>
    <mergeCell ref="B8:I8"/>
    <mergeCell ref="B4:I4"/>
    <mergeCell ref="B3:I3"/>
    <mergeCell ref="B6:I6"/>
  </mergeCells>
  <phoneticPr fontId="0" type="noConversion"/>
  <dataValidations count="2">
    <dataValidation type="decimal" operator="greaterThanOrEqual" allowBlank="1" showInputMessage="1" showErrorMessage="1" sqref="D12 D15 D18 D21" xr:uid="{00000000-0002-0000-0600-000000000000}">
      <formula1>0</formula1>
    </dataValidation>
    <dataValidation type="decimal" operator="greaterThanOrEqual" allowBlank="1" showInputMessage="1" showErrorMessage="1" sqref="D11 D17 D14 D23:D25 D20" xr:uid="{00000000-0002-0000-0600-000001000000}">
      <formula1>-200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K31"/>
  <sheetViews>
    <sheetView workbookViewId="0">
      <selection activeCell="M4" sqref="M4"/>
    </sheetView>
  </sheetViews>
  <sheetFormatPr defaultRowHeight="12.75" x14ac:dyDescent="0.2"/>
  <cols>
    <col min="1" max="1" width="5.7109375" style="8" customWidth="1"/>
    <col min="2" max="2" width="10.7109375" style="8" customWidth="1"/>
    <col min="3" max="3" width="27.7109375" style="12" customWidth="1"/>
    <col min="4" max="4" width="10.7109375" style="8" customWidth="1"/>
    <col min="5" max="5" width="3.7109375" style="8" customWidth="1"/>
    <col min="6" max="6" width="5.7109375" style="8" customWidth="1"/>
    <col min="7" max="7" width="10.7109375" style="8" customWidth="1"/>
    <col min="8" max="8" width="7.7109375" style="30" customWidth="1"/>
    <col min="9" max="9" width="18.140625" style="8" customWidth="1"/>
    <col min="10" max="10" width="10.7109375" style="8" customWidth="1"/>
    <col min="11" max="11" width="5.7109375" style="8" customWidth="1"/>
    <col min="12" max="16384" width="9.140625" style="8"/>
  </cols>
  <sheetData>
    <row r="1" spans="1:11" x14ac:dyDescent="0.2">
      <c r="B1" s="70" t="s">
        <v>320</v>
      </c>
      <c r="C1" s="70"/>
      <c r="D1" s="70"/>
      <c r="E1" s="70"/>
      <c r="F1" s="70"/>
      <c r="G1" s="70"/>
      <c r="H1" s="70"/>
      <c r="I1" s="70"/>
      <c r="J1" s="32"/>
    </row>
    <row r="2" spans="1:11" x14ac:dyDescent="0.2">
      <c r="B2" s="32"/>
      <c r="C2" s="32"/>
      <c r="D2" s="32"/>
      <c r="E2" s="32"/>
      <c r="F2" s="32"/>
      <c r="G2" s="32"/>
      <c r="H2" s="32"/>
      <c r="I2" s="32"/>
      <c r="J2" s="32"/>
    </row>
    <row r="3" spans="1:11" ht="39" customHeight="1" x14ac:dyDescent="0.45">
      <c r="A3" s="31"/>
      <c r="B3" s="71" t="s">
        <v>240</v>
      </c>
      <c r="C3" s="71"/>
      <c r="D3" s="71"/>
      <c r="E3" s="71"/>
      <c r="F3" s="71"/>
      <c r="G3" s="71"/>
      <c r="H3" s="71"/>
      <c r="I3" s="71"/>
      <c r="J3" s="43"/>
      <c r="K3" s="27"/>
    </row>
    <row r="4" spans="1:11" x14ac:dyDescent="0.2">
      <c r="A4" s="31"/>
      <c r="B4" s="70" t="s">
        <v>199</v>
      </c>
      <c r="C4" s="70"/>
      <c r="D4" s="70"/>
      <c r="E4" s="70"/>
      <c r="F4" s="70"/>
      <c r="G4" s="70"/>
      <c r="H4" s="70"/>
      <c r="I4" s="70"/>
      <c r="J4" s="32"/>
    </row>
    <row r="5" spans="1:11" x14ac:dyDescent="0.2">
      <c r="A5" s="9"/>
      <c r="B5" s="32"/>
      <c r="C5" s="32"/>
      <c r="D5" s="32"/>
      <c r="E5" s="32"/>
      <c r="F5" s="32"/>
      <c r="G5" s="32"/>
      <c r="H5" s="32"/>
      <c r="I5" s="32"/>
      <c r="J5" s="32"/>
    </row>
    <row r="6" spans="1:11" ht="13.5" thickBot="1" x14ac:dyDescent="0.25"/>
    <row r="7" spans="1:11" x14ac:dyDescent="0.2">
      <c r="B7" s="17" t="s">
        <v>0</v>
      </c>
      <c r="C7" s="12" t="s">
        <v>141</v>
      </c>
      <c r="D7" s="3">
        <v>3</v>
      </c>
      <c r="E7" s="8" t="s">
        <v>8</v>
      </c>
      <c r="G7" s="21" t="s">
        <v>169</v>
      </c>
      <c r="K7" s="16"/>
    </row>
    <row r="8" spans="1:11" ht="13.5" thickBot="1" x14ac:dyDescent="0.25">
      <c r="B8" s="17" t="s">
        <v>0</v>
      </c>
      <c r="C8" s="12" t="s">
        <v>152</v>
      </c>
      <c r="D8" s="4">
        <v>1.5</v>
      </c>
      <c r="G8" s="21" t="s">
        <v>170</v>
      </c>
      <c r="K8" s="16"/>
    </row>
    <row r="9" spans="1:11" s="16" customFormat="1" x14ac:dyDescent="0.2">
      <c r="B9" s="12" t="s">
        <v>1</v>
      </c>
      <c r="C9" s="12" t="s">
        <v>148</v>
      </c>
      <c r="D9" s="45">
        <f>IF(-ABS(10*LOG(POWER((D8-1)/(D8+1),2)))+2*ABS(D7)&gt;=-0.17,"100+",(1+SQRT(POWER(10,(10*LOG(POWER((D8-1)/(D8+1),2))+2*ABS(D7))/10)))/(1-SQRT(POWER(10,(10*LOG(POWER((D8-1)/(D8+1),2))+2*ABS(D7))/10))))</f>
        <v>2.3280775389537638</v>
      </c>
      <c r="E9" s="12"/>
      <c r="G9" s="21" t="s">
        <v>168</v>
      </c>
      <c r="H9" s="30"/>
      <c r="I9" s="8"/>
      <c r="J9" s="8"/>
    </row>
    <row r="10" spans="1:11" s="16" customFormat="1" x14ac:dyDescent="0.2">
      <c r="B10" s="12"/>
      <c r="C10" s="12"/>
      <c r="D10" s="45"/>
      <c r="E10" s="12"/>
      <c r="G10" s="21"/>
      <c r="H10" s="30"/>
      <c r="I10" s="8"/>
      <c r="J10" s="8"/>
    </row>
    <row r="11" spans="1:11" ht="13.5" thickBot="1" x14ac:dyDescent="0.25"/>
    <row r="12" spans="1:11" x14ac:dyDescent="0.2">
      <c r="B12" s="17" t="s">
        <v>0</v>
      </c>
      <c r="C12" s="12" t="s">
        <v>141</v>
      </c>
      <c r="D12" s="3">
        <v>3</v>
      </c>
      <c r="E12" s="8" t="s">
        <v>8</v>
      </c>
      <c r="G12" s="21" t="s">
        <v>143</v>
      </c>
      <c r="K12" s="16"/>
    </row>
    <row r="13" spans="1:11" ht="13.5" thickBot="1" x14ac:dyDescent="0.25">
      <c r="B13" s="17" t="s">
        <v>0</v>
      </c>
      <c r="C13" s="12" t="s">
        <v>153</v>
      </c>
      <c r="D13" s="4">
        <v>-14</v>
      </c>
      <c r="E13" s="8" t="s">
        <v>8</v>
      </c>
      <c r="G13" s="21" t="s">
        <v>154</v>
      </c>
      <c r="K13" s="16"/>
    </row>
    <row r="14" spans="1:11" s="16" customFormat="1" x14ac:dyDescent="0.2">
      <c r="B14" s="12" t="s">
        <v>1</v>
      </c>
      <c r="C14" s="12" t="s">
        <v>149</v>
      </c>
      <c r="D14" s="14">
        <f>IF(-ABS(D13)+2*ABS(D12)&gt;=0,0,-ABS(D13)+2*ABS(D12))</f>
        <v>-8</v>
      </c>
      <c r="E14" s="12" t="s">
        <v>8</v>
      </c>
      <c r="G14" s="21" t="s">
        <v>155</v>
      </c>
      <c r="H14" s="30"/>
      <c r="I14" s="8"/>
      <c r="J14" s="8"/>
    </row>
    <row r="16" spans="1:11" ht="13.5" thickBot="1" x14ac:dyDescent="0.25"/>
    <row r="17" spans="2:11" x14ac:dyDescent="0.2">
      <c r="B17" s="17" t="s">
        <v>0</v>
      </c>
      <c r="C17" s="12" t="s">
        <v>141</v>
      </c>
      <c r="D17" s="3">
        <v>3</v>
      </c>
      <c r="E17" s="8" t="s">
        <v>8</v>
      </c>
      <c r="G17" s="21" t="s">
        <v>143</v>
      </c>
      <c r="K17" s="16"/>
    </row>
    <row r="18" spans="2:11" x14ac:dyDescent="0.2">
      <c r="B18" s="17" t="s">
        <v>0</v>
      </c>
      <c r="C18" s="12" t="s">
        <v>156</v>
      </c>
      <c r="D18" s="39">
        <v>100</v>
      </c>
      <c r="E18" s="8" t="s">
        <v>11</v>
      </c>
      <c r="G18" s="21" t="s">
        <v>159</v>
      </c>
    </row>
    <row r="19" spans="2:11" ht="13.5" thickBot="1" x14ac:dyDescent="0.25">
      <c r="B19" s="17" t="s">
        <v>0</v>
      </c>
      <c r="C19" s="12" t="s">
        <v>157</v>
      </c>
      <c r="D19" s="4">
        <v>4</v>
      </c>
      <c r="E19" s="8" t="s">
        <v>11</v>
      </c>
      <c r="G19" s="21" t="s">
        <v>160</v>
      </c>
      <c r="K19" s="16"/>
    </row>
    <row r="20" spans="2:11" s="16" customFormat="1" x14ac:dyDescent="0.2">
      <c r="B20" s="12" t="s">
        <v>1</v>
      </c>
      <c r="C20" s="12" t="s">
        <v>158</v>
      </c>
      <c r="D20" s="14">
        <f>SQRT(D19/D18)</f>
        <v>0.2</v>
      </c>
      <c r="E20" s="12"/>
      <c r="G20" s="21" t="s">
        <v>161</v>
      </c>
      <c r="H20" s="30"/>
      <c r="I20" s="8"/>
      <c r="J20" s="8"/>
    </row>
    <row r="21" spans="2:11" s="16" customFormat="1" x14ac:dyDescent="0.2">
      <c r="B21" s="12" t="s">
        <v>1</v>
      </c>
      <c r="C21" s="12" t="s">
        <v>152</v>
      </c>
      <c r="D21" s="14">
        <f>(1+D20)/(1-D20)</f>
        <v>1.4999999999999998</v>
      </c>
      <c r="E21" s="12"/>
      <c r="G21" s="21" t="s">
        <v>162</v>
      </c>
      <c r="H21" s="30"/>
      <c r="I21" s="8"/>
      <c r="J21" s="8"/>
    </row>
    <row r="22" spans="2:11" s="16" customFormat="1" x14ac:dyDescent="0.2">
      <c r="B22" s="12" t="s">
        <v>1</v>
      </c>
      <c r="C22" s="12" t="s">
        <v>153</v>
      </c>
      <c r="D22" s="45">
        <f>IF(D19&lt;=0,"-Infinity",10*LOG(D19/D18))</f>
        <v>-13.979400086720375</v>
      </c>
      <c r="E22" s="12" t="s">
        <v>8</v>
      </c>
      <c r="G22" s="21" t="s">
        <v>163</v>
      </c>
      <c r="H22" s="30"/>
      <c r="I22" s="8"/>
      <c r="J22" s="8"/>
      <c r="K22" s="8"/>
    </row>
    <row r="23" spans="2:11" s="16" customFormat="1" x14ac:dyDescent="0.2">
      <c r="B23" s="12" t="s">
        <v>1</v>
      </c>
      <c r="C23" s="12" t="s">
        <v>156</v>
      </c>
      <c r="D23" s="14">
        <f>10*LOG(D18)+30</f>
        <v>50</v>
      </c>
      <c r="E23" s="12" t="s">
        <v>14</v>
      </c>
      <c r="G23" s="21" t="s">
        <v>164</v>
      </c>
      <c r="H23" s="30"/>
      <c r="I23" s="8"/>
      <c r="J23" s="8"/>
      <c r="K23" s="8"/>
    </row>
    <row r="24" spans="2:11" s="16" customFormat="1" x14ac:dyDescent="0.2">
      <c r="B24" s="12" t="s">
        <v>1</v>
      </c>
      <c r="C24" s="12" t="s">
        <v>171</v>
      </c>
      <c r="D24" s="14">
        <f>D23-ABS(D17)</f>
        <v>47</v>
      </c>
      <c r="E24" s="12" t="s">
        <v>14</v>
      </c>
      <c r="G24" s="21" t="s">
        <v>165</v>
      </c>
      <c r="H24" s="30"/>
      <c r="I24" s="8"/>
      <c r="J24" s="8"/>
      <c r="K24" s="8"/>
    </row>
    <row r="25" spans="2:11" s="16" customFormat="1" x14ac:dyDescent="0.2">
      <c r="B25" s="12" t="s">
        <v>1</v>
      </c>
      <c r="C25" s="12" t="s">
        <v>157</v>
      </c>
      <c r="D25" s="45">
        <f>IF(D19&lt;=0,"-Infinity",10*LOG(D19)+30)</f>
        <v>36.020599913279625</v>
      </c>
      <c r="E25" s="12" t="s">
        <v>14</v>
      </c>
      <c r="G25" s="21" t="s">
        <v>166</v>
      </c>
      <c r="H25" s="30"/>
      <c r="I25" s="8"/>
      <c r="J25" s="8"/>
      <c r="K25" s="8"/>
    </row>
    <row r="26" spans="2:11" s="16" customFormat="1" x14ac:dyDescent="0.2">
      <c r="B26" s="12" t="s">
        <v>1</v>
      </c>
      <c r="C26" s="12" t="s">
        <v>172</v>
      </c>
      <c r="D26" s="45">
        <f>IF(D25="-Infinity","-Infinity",IF(D25+ABS(D17)&gt;D24,D24,D25+ABS(D17)))</f>
        <v>39.020599913279625</v>
      </c>
      <c r="E26" s="12" t="s">
        <v>14</v>
      </c>
      <c r="G26" s="21" t="s">
        <v>167</v>
      </c>
      <c r="H26" s="30"/>
      <c r="I26" s="8"/>
      <c r="J26" s="8"/>
      <c r="K26" s="8"/>
    </row>
    <row r="27" spans="2:11" s="16" customFormat="1" x14ac:dyDescent="0.2">
      <c r="B27" s="12" t="s">
        <v>1</v>
      </c>
      <c r="C27" s="12" t="s">
        <v>171</v>
      </c>
      <c r="D27" s="14">
        <f>POWER(10,((D24-30)/10))</f>
        <v>50.118723362727238</v>
      </c>
      <c r="E27" s="12" t="s">
        <v>11</v>
      </c>
      <c r="G27" s="21" t="s">
        <v>144</v>
      </c>
      <c r="H27" s="30"/>
      <c r="I27" s="8"/>
      <c r="J27" s="8"/>
      <c r="K27" s="8"/>
    </row>
    <row r="28" spans="2:11" s="16" customFormat="1" x14ac:dyDescent="0.2">
      <c r="B28" s="12" t="s">
        <v>1</v>
      </c>
      <c r="C28" s="12" t="s">
        <v>172</v>
      </c>
      <c r="D28" s="14">
        <f>IF(D26="-Infinity",0,POWER(10,((D26-30)/10)))</f>
        <v>7.9810492598755216</v>
      </c>
      <c r="E28" s="12" t="s">
        <v>11</v>
      </c>
      <c r="G28" s="21" t="s">
        <v>145</v>
      </c>
      <c r="H28" s="30"/>
      <c r="I28" s="8"/>
      <c r="J28" s="8"/>
      <c r="K28" s="8"/>
    </row>
    <row r="29" spans="2:11" s="16" customFormat="1" x14ac:dyDescent="0.2">
      <c r="B29" s="12" t="s">
        <v>1</v>
      </c>
      <c r="C29" s="12" t="s">
        <v>150</v>
      </c>
      <c r="D29" s="14">
        <f>SQRT(D28/D27)</f>
        <v>0.39905246299377595</v>
      </c>
      <c r="E29" s="12"/>
      <c r="G29" s="21" t="s">
        <v>151</v>
      </c>
      <c r="H29" s="30"/>
      <c r="I29" s="8"/>
      <c r="J29" s="8"/>
    </row>
    <row r="30" spans="2:11" s="16" customFormat="1" x14ac:dyDescent="0.2">
      <c r="B30" s="12" t="s">
        <v>1</v>
      </c>
      <c r="C30" s="12" t="s">
        <v>148</v>
      </c>
      <c r="D30" s="45">
        <f>IF(D29&gt;0.98,"100+",(1+D29)/(1-D29))</f>
        <v>2.3280775389537638</v>
      </c>
      <c r="E30" s="12"/>
      <c r="G30" s="21" t="s">
        <v>146</v>
      </c>
      <c r="H30" s="30"/>
      <c r="I30" s="8"/>
      <c r="J30" s="8"/>
    </row>
    <row r="31" spans="2:11" s="16" customFormat="1" x14ac:dyDescent="0.2">
      <c r="B31" s="12" t="s">
        <v>1</v>
      </c>
      <c r="C31" s="12" t="s">
        <v>149</v>
      </c>
      <c r="D31" s="45">
        <f>IF(D28&lt;=0,"-Infinity",10*LOG(D28/D27))</f>
        <v>-7.9794000867203749</v>
      </c>
      <c r="E31" s="12" t="s">
        <v>8</v>
      </c>
      <c r="G31" s="21" t="s">
        <v>147</v>
      </c>
      <c r="H31" s="30"/>
      <c r="I31" s="8"/>
      <c r="J31" s="8"/>
      <c r="K31" s="8"/>
    </row>
  </sheetData>
  <sheetProtection algorithmName="SHA-512" hashValue="UnGUzaLQUH5TFHXLcNWtRiCTlHhcaG3ijkUVaSjjuRQVTmbR0FdeNGIZGIKs8xlH+8GMbIZI+uXH7FyGMFMGqw==" saltValue="5B087Z6H5sGD7RYIvqIfvg==" spinCount="100000" sheet="1" objects="1" scenarios="1"/>
  <mergeCells count="3">
    <mergeCell ref="B1:I1"/>
    <mergeCell ref="B3:I3"/>
    <mergeCell ref="B4:I4"/>
  </mergeCells>
  <phoneticPr fontId="0" type="noConversion"/>
  <dataValidations count="2">
    <dataValidation type="decimal" operator="greaterThanOrEqual" allowBlank="1" showInputMessage="1" showErrorMessage="1" sqref="D8 D18:D19" xr:uid="{00000000-0002-0000-0700-000000000000}">
      <formula1>0</formula1>
    </dataValidation>
    <dataValidation type="decimal" operator="greaterThanOrEqual" allowBlank="1" showInputMessage="1" showErrorMessage="1" sqref="D17 D7 D12:D13" xr:uid="{00000000-0002-0000-0700-000001000000}">
      <formula1>-200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K22"/>
  <sheetViews>
    <sheetView workbookViewId="0">
      <selection activeCell="K39" sqref="K39"/>
    </sheetView>
  </sheetViews>
  <sheetFormatPr defaultRowHeight="12.75" x14ac:dyDescent="0.2"/>
  <cols>
    <col min="1" max="1" width="5.7109375" style="8" customWidth="1"/>
    <col min="2" max="2" width="13.7109375" style="8" customWidth="1"/>
    <col min="3" max="3" width="21.7109375" style="12" customWidth="1"/>
    <col min="4" max="4" width="10.7109375" style="8" customWidth="1"/>
    <col min="5" max="5" width="3.7109375" style="8" customWidth="1"/>
    <col min="6" max="6" width="7.7109375" style="8" customWidth="1"/>
    <col min="7" max="7" width="30.7109375" style="8" customWidth="1"/>
    <col min="8" max="8" width="7.7109375" style="30" customWidth="1"/>
    <col min="9" max="9" width="5.7109375" style="8" customWidth="1"/>
    <col min="10" max="10" width="10.7109375" style="8" customWidth="1"/>
    <col min="11" max="11" width="5.7109375" style="8" customWidth="1"/>
    <col min="12" max="16384" width="9.140625" style="8"/>
  </cols>
  <sheetData>
    <row r="1" spans="1:11" x14ac:dyDescent="0.2">
      <c r="B1" s="70" t="s">
        <v>320</v>
      </c>
      <c r="C1" s="70"/>
      <c r="D1" s="70"/>
      <c r="E1" s="70"/>
      <c r="F1" s="70"/>
      <c r="G1" s="70"/>
      <c r="H1" s="70"/>
      <c r="I1" s="70"/>
      <c r="J1" s="32"/>
    </row>
    <row r="2" spans="1:11" x14ac:dyDescent="0.2">
      <c r="B2" s="32"/>
      <c r="C2" s="32"/>
      <c r="D2" s="32"/>
      <c r="E2" s="32"/>
      <c r="F2" s="32"/>
      <c r="G2" s="32"/>
      <c r="H2" s="32"/>
      <c r="I2" s="32"/>
      <c r="J2" s="32"/>
    </row>
    <row r="3" spans="1:11" ht="22.5" x14ac:dyDescent="0.45">
      <c r="A3" s="31"/>
      <c r="B3" s="71" t="s">
        <v>249</v>
      </c>
      <c r="C3" s="71"/>
      <c r="D3" s="71"/>
      <c r="E3" s="71"/>
      <c r="F3" s="71"/>
      <c r="G3" s="71"/>
      <c r="H3" s="71"/>
      <c r="I3" s="71"/>
      <c r="J3" s="43"/>
      <c r="K3" s="27"/>
    </row>
    <row r="4" spans="1:11" x14ac:dyDescent="0.2">
      <c r="A4" s="31"/>
      <c r="B4" s="70" t="s">
        <v>279</v>
      </c>
      <c r="C4" s="70"/>
      <c r="D4" s="70"/>
      <c r="E4" s="70"/>
      <c r="F4" s="70"/>
      <c r="G4" s="70"/>
      <c r="H4" s="70"/>
      <c r="I4" s="70"/>
      <c r="J4" s="32"/>
    </row>
    <row r="5" spans="1:11" x14ac:dyDescent="0.2">
      <c r="A5" s="31"/>
      <c r="B5" s="32"/>
      <c r="C5" s="32"/>
      <c r="D5" s="32"/>
      <c r="E5" s="32"/>
      <c r="F5" s="32"/>
      <c r="G5" s="32"/>
      <c r="H5" s="32"/>
      <c r="I5" s="32"/>
      <c r="J5" s="32"/>
    </row>
    <row r="6" spans="1:11" ht="13.5" thickBot="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</row>
    <row r="7" spans="1:11" x14ac:dyDescent="0.2">
      <c r="B7" s="17" t="s">
        <v>0</v>
      </c>
      <c r="C7" s="12" t="s">
        <v>278</v>
      </c>
      <c r="D7" s="48">
        <v>-30</v>
      </c>
      <c r="E7" s="8" t="s">
        <v>14</v>
      </c>
      <c r="G7" s="21" t="s">
        <v>274</v>
      </c>
      <c r="K7" s="16"/>
    </row>
    <row r="8" spans="1:11" x14ac:dyDescent="0.2">
      <c r="B8" s="17" t="s">
        <v>0</v>
      </c>
      <c r="C8" s="12" t="s">
        <v>245</v>
      </c>
      <c r="D8" s="49">
        <v>155</v>
      </c>
      <c r="E8" s="8" t="s">
        <v>246</v>
      </c>
      <c r="G8" s="21" t="s">
        <v>276</v>
      </c>
      <c r="K8" s="16"/>
    </row>
    <row r="9" spans="1:11" ht="13.5" thickBot="1" x14ac:dyDescent="0.25">
      <c r="B9" s="17" t="s">
        <v>0</v>
      </c>
      <c r="C9" s="12" t="s">
        <v>277</v>
      </c>
      <c r="D9" s="50">
        <v>3</v>
      </c>
      <c r="E9" s="8" t="s">
        <v>8</v>
      </c>
      <c r="G9" s="21" t="s">
        <v>275</v>
      </c>
      <c r="K9" s="16"/>
    </row>
    <row r="10" spans="1:11" x14ac:dyDescent="0.2">
      <c r="B10" s="12" t="s">
        <v>1</v>
      </c>
      <c r="C10" s="12" t="s">
        <v>248</v>
      </c>
      <c r="D10" s="22">
        <f>20*LOG(D8)-D9-29.8</f>
        <v>11.006633963405829</v>
      </c>
      <c r="E10" s="8" t="s">
        <v>8</v>
      </c>
    </row>
    <row r="11" spans="1:11" x14ac:dyDescent="0.2">
      <c r="B11" s="12" t="s">
        <v>1</v>
      </c>
      <c r="C11" s="12" t="s">
        <v>244</v>
      </c>
      <c r="D11" s="22">
        <f>D7+107</f>
        <v>77</v>
      </c>
      <c r="E11" s="8" t="s">
        <v>247</v>
      </c>
      <c r="G11" s="21" t="s">
        <v>280</v>
      </c>
    </row>
    <row r="12" spans="1:11" x14ac:dyDescent="0.2">
      <c r="B12" s="12" t="s">
        <v>1</v>
      </c>
      <c r="C12" s="12" t="s">
        <v>244</v>
      </c>
      <c r="D12" s="22">
        <f>D11+D10</f>
        <v>88.006633963405832</v>
      </c>
      <c r="E12" s="8" t="s">
        <v>250</v>
      </c>
      <c r="G12" s="21" t="s">
        <v>281</v>
      </c>
    </row>
    <row r="13" spans="1:11" x14ac:dyDescent="0.2">
      <c r="B13" s="12" t="s">
        <v>1</v>
      </c>
      <c r="C13" s="12" t="s">
        <v>251</v>
      </c>
      <c r="D13" s="22">
        <f>D15/1000000</f>
        <v>2.5138056509063471E-2</v>
      </c>
      <c r="E13" s="8" t="s">
        <v>253</v>
      </c>
      <c r="G13" s="21" t="s">
        <v>282</v>
      </c>
    </row>
    <row r="14" spans="1:11" x14ac:dyDescent="0.2">
      <c r="B14" s="12" t="s">
        <v>1</v>
      </c>
      <c r="C14" s="12" t="s">
        <v>251</v>
      </c>
      <c r="D14" s="22">
        <f>D15/1000</f>
        <v>25.138056509063471</v>
      </c>
      <c r="E14" s="8" t="s">
        <v>254</v>
      </c>
    </row>
    <row r="15" spans="1:11" x14ac:dyDescent="0.2">
      <c r="B15" s="12" t="s">
        <v>1</v>
      </c>
      <c r="C15" s="12" t="s">
        <v>251</v>
      </c>
      <c r="D15" s="22">
        <f>POWER(10,D12/20)</f>
        <v>25138.05650906347</v>
      </c>
      <c r="E15" s="8" t="s">
        <v>252</v>
      </c>
    </row>
    <row r="18" spans="2:9" x14ac:dyDescent="0.2">
      <c r="B18" s="70" t="s">
        <v>255</v>
      </c>
      <c r="C18" s="70"/>
      <c r="D18" s="70"/>
      <c r="E18" s="70"/>
      <c r="F18" s="70"/>
      <c r="G18" s="70"/>
      <c r="H18" s="70"/>
      <c r="I18" s="70"/>
    </row>
    <row r="19" spans="2:9" x14ac:dyDescent="0.2">
      <c r="B19" s="70" t="s">
        <v>256</v>
      </c>
      <c r="C19" s="70"/>
      <c r="D19" s="70"/>
      <c r="E19" s="70"/>
      <c r="F19" s="70"/>
      <c r="G19" s="70"/>
      <c r="H19" s="70"/>
      <c r="I19" s="70"/>
    </row>
    <row r="20" spans="2:9" x14ac:dyDescent="0.2">
      <c r="B20" s="70" t="s">
        <v>257</v>
      </c>
      <c r="C20" s="70"/>
      <c r="D20" s="70"/>
      <c r="E20" s="70"/>
      <c r="F20" s="70"/>
      <c r="G20" s="70"/>
      <c r="H20" s="70"/>
      <c r="I20" s="70"/>
    </row>
    <row r="21" spans="2:9" x14ac:dyDescent="0.2">
      <c r="B21" s="70" t="s">
        <v>259</v>
      </c>
      <c r="C21" s="70"/>
      <c r="D21" s="70"/>
      <c r="E21" s="70"/>
      <c r="F21" s="70"/>
      <c r="G21" s="70"/>
      <c r="H21" s="70"/>
      <c r="I21" s="70"/>
    </row>
    <row r="22" spans="2:9" x14ac:dyDescent="0.2">
      <c r="B22" s="70" t="s">
        <v>258</v>
      </c>
      <c r="C22" s="70"/>
      <c r="D22" s="70"/>
      <c r="E22" s="70"/>
      <c r="F22" s="70"/>
      <c r="G22" s="70"/>
      <c r="H22" s="70"/>
      <c r="I22" s="70"/>
    </row>
  </sheetData>
  <sheetProtection algorithmName="SHA-512" hashValue="y12V7wCSgnM9fZzLQsftIRDrFlyuxg7aDRRWwdHq/Cph0UnuDzVd0S7EGnJm5a9qELAMYrCKMOYIs6ouPZvs0A==" saltValue="UpukWzq5bIMWwHwSbEmppA==" spinCount="100000" sheet="1" objects="1" scenarios="1"/>
  <mergeCells count="8">
    <mergeCell ref="B22:I22"/>
    <mergeCell ref="B1:I1"/>
    <mergeCell ref="B4:I4"/>
    <mergeCell ref="B3:I3"/>
    <mergeCell ref="B18:I18"/>
    <mergeCell ref="B19:I19"/>
    <mergeCell ref="B20:I20"/>
    <mergeCell ref="B21:I21"/>
  </mergeCells>
  <phoneticPr fontId="0" type="noConversion"/>
  <dataValidations count="1">
    <dataValidation type="decimal" operator="greaterThanOrEqual" allowBlank="1" showInputMessage="1" showErrorMessage="1" sqref="D7:D9" xr:uid="{00000000-0002-0000-0800-000000000000}">
      <formula1>-200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Home</vt:lpstr>
      <vt:lpstr>Power</vt:lpstr>
      <vt:lpstr>VSWR &amp; RL</vt:lpstr>
      <vt:lpstr>Freq &amp; Wave</vt:lpstr>
      <vt:lpstr>Atten</vt:lpstr>
      <vt:lpstr>Directivity</vt:lpstr>
      <vt:lpstr>Cable Loss</vt:lpstr>
      <vt:lpstr>Masking Effect</vt:lpstr>
      <vt:lpstr>Field Strength</vt:lpstr>
      <vt:lpstr>Free Space Loss</vt:lpstr>
      <vt:lpstr>Metric</vt:lpstr>
      <vt:lpstr>Pulse Power</vt:lpstr>
      <vt:lpstr>Home!Print_Area</vt:lpstr>
    </vt:vector>
  </TitlesOfParts>
  <Company>Bird Electronic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 Electronic Corporation</dc:creator>
  <cp:lastModifiedBy>Brad Odhner</cp:lastModifiedBy>
  <cp:lastPrinted>2025-07-18T19:54:30Z</cp:lastPrinted>
  <dcterms:created xsi:type="dcterms:W3CDTF">2002-02-28T14:07:23Z</dcterms:created>
  <dcterms:modified xsi:type="dcterms:W3CDTF">2025-07-18T19:54:31Z</dcterms:modified>
</cp:coreProperties>
</file>